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2.xml" ContentType="application/vnd.openxmlformats-officedocument.drawing+xml"/>
  <Override PartName="/xl/comments2.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defaultThemeVersion="124226"/>
  <mc:AlternateContent xmlns:mc="http://schemas.openxmlformats.org/markup-compatibility/2006">
    <mc:Choice Requires="x15">
      <x15ac:absPath xmlns:x15ac="http://schemas.microsoft.com/office/spreadsheetml/2010/11/ac" url="I:\40 - Administrative Services Dept\Finance\Finance Manager\Fees\Development Impact Fees\FY2022-2023\"/>
    </mc:Choice>
  </mc:AlternateContent>
  <xr:revisionPtr revIDLastSave="0" documentId="13_ncr:1_{51FBD59A-63D9-4168-9273-07BC0D1CAFB1}" xr6:coauthVersionLast="47" xr6:coauthVersionMax="47" xr10:uidLastSave="{00000000-0000-0000-0000-000000000000}"/>
  <bookViews>
    <workbookView xWindow="28680" yWindow="-120" windowWidth="29040" windowHeight="15840" xr2:uid="{00000000-000D-0000-FFFF-FFFF00000000}"/>
  </bookViews>
  <sheets>
    <sheet name="Data Sheet" sheetId="21" r:id="rId1"/>
    <sheet name="Summary Sheet" sheetId="10" r:id="rId2"/>
    <sheet name="Parks &amp; Rec" sheetId="12" r:id="rId3"/>
    <sheet name="Public Works" sheetId="17" r:id="rId4"/>
    <sheet name="Police" sheetId="14" r:id="rId5"/>
    <sheet name="Fire" sheetId="16" r:id="rId6"/>
    <sheet name="WUSD" sheetId="20" r:id="rId7"/>
    <sheet name="Housing In-Lieu " sheetId="23" state="hidden" r:id="rId8"/>
    <sheet name="Tree Mitigation" sheetId="22" state="hidden" r:id="rId9"/>
    <sheet name="Engineering Svs Fees" sheetId="33" state="hidden" r:id="rId10"/>
    <sheet name="FY22-23 FEE Worksheet" sheetId="26" state="hidden" r:id="rId11"/>
    <sheet name="FY22-23 Inclusionary Fee" sheetId="29" state="hidden" r:id="rId12"/>
    <sheet name="IV. Engineering" sheetId="31" state="hidden" r:id="rId13"/>
    <sheet name="VI. Public Works" sheetId="32" state="hidden" r:id="rId14"/>
    <sheet name="Sheet1" sheetId="30" r:id="rId15"/>
  </sheets>
  <externalReferences>
    <externalReference r:id="rId16"/>
    <externalReference r:id="rId17"/>
  </externalReferences>
  <definedNames>
    <definedName name="_xlnm._FilterDatabase" localSheetId="13" hidden="1">'VI. Public Works'!$F$1:$F$124</definedName>
    <definedName name="_xlnm.Print_Area" localSheetId="0">'Data Sheet'!$A$1:$C$94</definedName>
    <definedName name="_xlnm.Print_Area" localSheetId="5">Fire!$A$1:$H$22</definedName>
    <definedName name="_xlnm.Print_Area" localSheetId="10">'FY22-23 FEE Worksheet'!$A$1:$N$272</definedName>
    <definedName name="_xlnm.Print_Area" localSheetId="11">'FY22-23 Inclusionary Fee'!$H$1:$M$46</definedName>
    <definedName name="_xlnm.Print_Area" localSheetId="12">'IV. Engineering'!$A$1:$G$107</definedName>
    <definedName name="_xlnm.Print_Area" localSheetId="2">'Parks &amp; Rec'!$A$1:$H$33</definedName>
    <definedName name="_xlnm.Print_Area" localSheetId="4">Police!$A$1:$H$16</definedName>
    <definedName name="_xlnm.Print_Area" localSheetId="3">'Public Works'!$A$1:$H$137</definedName>
    <definedName name="_xlnm.Print_Area" localSheetId="1">'Summary Sheet'!$A$1:$D$31</definedName>
    <definedName name="_xlnm.Print_Area" localSheetId="13">'VI. Public Works'!$A$1:$G$114</definedName>
    <definedName name="_xlnm.Print_Area" localSheetId="6">WUSD!$A$1:$E$18</definedName>
    <definedName name="_xlnm.Print_Titles" localSheetId="0">'Data Sheet'!$1:$11</definedName>
    <definedName name="_xlnm.Print_Titles" localSheetId="10">'FY22-23 FEE Worksheet'!$1:$2</definedName>
    <definedName name="_xlnm.Print_Titles" localSheetId="12">'IV. Engineering'!$1:$6</definedName>
    <definedName name="_xlnm.Print_Titles" localSheetId="3">'Public Works'!$1:$12</definedName>
    <definedName name="_xlnm.Print_Titles" localSheetId="13">'VI. Public Works'!$1:$6</definedName>
    <definedName name="Z_16D63F87_8529_49D3_B60A_2A48E96800CF_.wvu.FilterData" localSheetId="13" hidden="1">'VI. Public Works'!$F$1:$F$124</definedName>
    <definedName name="Z_16D63F87_8529_49D3_B60A_2A48E96800CF_.wvu.PrintArea" localSheetId="12" hidden="1">'IV. Engineering'!$A$1:$G$107</definedName>
    <definedName name="Z_16D63F87_8529_49D3_B60A_2A48E96800CF_.wvu.PrintArea" localSheetId="13" hidden="1">'VI. Public Works'!$A$1:$G$114</definedName>
    <definedName name="Z_16D63F87_8529_49D3_B60A_2A48E96800CF_.wvu.PrintTitles" localSheetId="12" hidden="1">'IV. Engineering'!$1:$6</definedName>
    <definedName name="Z_16D63F87_8529_49D3_B60A_2A48E96800CF_.wvu.PrintTitles" localSheetId="13" hidden="1">'VI. Public Works'!$1:$6</definedName>
    <definedName name="Z_16D63F87_8529_49D3_B60A_2A48E96800CF_.wvu.Rows" localSheetId="12" hidden="1">'IV. Engineering'!$21:$21,'IV. Engineering'!$43:$45</definedName>
    <definedName name="Z_16D63F87_8529_49D3_B60A_2A48E96800CF_.wvu.Rows" localSheetId="13" hidden="1">'VI. Public Works'!$61:$61</definedName>
    <definedName name="Z_18FCCC41_AB7F_40C3_B838_2910D582EC2E_.wvu.PrintArea" localSheetId="12" hidden="1">'IV. Engineering'!$A$1:$G$107</definedName>
    <definedName name="Z_18FCCC41_AB7F_40C3_B838_2910D582EC2E_.wvu.PrintArea" localSheetId="13" hidden="1">'VI. Public Works'!$A$1:$H$114</definedName>
    <definedName name="Z_18FCCC41_AB7F_40C3_B838_2910D582EC2E_.wvu.PrintTitles" localSheetId="12" hidden="1">'IV. Engineering'!$1:$6</definedName>
    <definedName name="Z_18FCCC41_AB7F_40C3_B838_2910D582EC2E_.wvu.PrintTitles" localSheetId="13" hidden="1">'VI. Public Works'!$1:$6</definedName>
    <definedName name="Z_18FCCC41_AB7F_40C3_B838_2910D582EC2E_.wvu.Rows" localSheetId="12" hidden="1">'IV. Engineering'!$21:$21</definedName>
    <definedName name="Z_2CFBC988_4345_43F0_9A9F_413406E0F91C_.wvu.FilterData" localSheetId="13" hidden="1">'VI. Public Works'!$F$1:$F$124</definedName>
    <definedName name="Z_2CFBC988_4345_43F0_9A9F_413406E0F91C_.wvu.PrintArea" localSheetId="12" hidden="1">'IV. Engineering'!$A$1:$G$107</definedName>
    <definedName name="Z_2CFBC988_4345_43F0_9A9F_413406E0F91C_.wvu.PrintArea" localSheetId="13" hidden="1">'VI. Public Works'!$A$1:$G$114</definedName>
    <definedName name="Z_2CFBC988_4345_43F0_9A9F_413406E0F91C_.wvu.PrintTitles" localSheetId="12" hidden="1">'IV. Engineering'!$1:$6</definedName>
    <definedName name="Z_2CFBC988_4345_43F0_9A9F_413406E0F91C_.wvu.PrintTitles" localSheetId="13" hidden="1">'VI. Public Works'!$1:$6</definedName>
    <definedName name="Z_2CFBC988_4345_43F0_9A9F_413406E0F91C_.wvu.Rows" localSheetId="12" hidden="1">'IV. Engineering'!$21:$21,'IV. Engineering'!$43:$45</definedName>
    <definedName name="Z_2CFBC988_4345_43F0_9A9F_413406E0F91C_.wvu.Rows" localSheetId="13" hidden="1">'VI. Public Works'!$61:$61</definedName>
    <definedName name="Z_3B1392C8_1FF8_4738_99AB_4C0D9A13AF9B_.wvu.PrintArea" localSheetId="12" hidden="1">'IV. Engineering'!$A$1:$G$107</definedName>
    <definedName name="Z_3B1392C8_1FF8_4738_99AB_4C0D9A13AF9B_.wvu.PrintArea" localSheetId="13" hidden="1">'VI. Public Works'!$A$1:$H$114</definedName>
    <definedName name="Z_3B1392C8_1FF8_4738_99AB_4C0D9A13AF9B_.wvu.PrintTitles" localSheetId="12" hidden="1">'IV. Engineering'!$1:$6</definedName>
    <definedName name="Z_3B1392C8_1FF8_4738_99AB_4C0D9A13AF9B_.wvu.PrintTitles" localSheetId="13" hidden="1">'VI. Public Works'!$1:$6</definedName>
    <definedName name="Z_3B1392C8_1FF8_4738_99AB_4C0D9A13AF9B_.wvu.Rows" localSheetId="12" hidden="1">'IV. Engineering'!$21:$21</definedName>
    <definedName name="Z_55835C54_4CFB_4101_A6E9_F33F92F05C99_.wvu.PrintArea" localSheetId="12" hidden="1">'IV. Engineering'!$A$1:$G$107</definedName>
    <definedName name="Z_55835C54_4CFB_4101_A6E9_F33F92F05C99_.wvu.PrintArea" localSheetId="13" hidden="1">'VI. Public Works'!$A$1:$G$114</definedName>
    <definedName name="Z_55835C54_4CFB_4101_A6E9_F33F92F05C99_.wvu.PrintTitles" localSheetId="12" hidden="1">'IV. Engineering'!$1:$6</definedName>
    <definedName name="Z_55835C54_4CFB_4101_A6E9_F33F92F05C99_.wvu.PrintTitles" localSheetId="13" hidden="1">'VI. Public Works'!$1:$6</definedName>
    <definedName name="Z_55835C54_4CFB_4101_A6E9_F33F92F05C99_.wvu.Rows" localSheetId="12" hidden="1">'IV. Engineering'!$21:$21</definedName>
    <definedName name="Z_739B81B3_C1EA_438F_9A85_3D674259FA23_.wvu.FilterData" localSheetId="13" hidden="1">'VI. Public Works'!$F$1:$F$124</definedName>
    <definedName name="Z_739B81B3_C1EA_438F_9A85_3D674259FA23_.wvu.PrintArea" localSheetId="12" hidden="1">'IV. Engineering'!$A$1:$G$107</definedName>
    <definedName name="Z_739B81B3_C1EA_438F_9A85_3D674259FA23_.wvu.PrintArea" localSheetId="13" hidden="1">'VI. Public Works'!$A$1:$G$114</definedName>
    <definedName name="Z_739B81B3_C1EA_438F_9A85_3D674259FA23_.wvu.PrintTitles" localSheetId="12" hidden="1">'IV. Engineering'!$1:$6</definedName>
    <definedName name="Z_739B81B3_C1EA_438F_9A85_3D674259FA23_.wvu.PrintTitles" localSheetId="13" hidden="1">'VI. Public Works'!$1:$6</definedName>
    <definedName name="Z_739B81B3_C1EA_438F_9A85_3D674259FA23_.wvu.Rows" localSheetId="12" hidden="1">'IV. Engineering'!$21:$21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6" i="33" l="1"/>
  <c r="B5" i="33"/>
  <c r="B4" i="33"/>
  <c r="B3" i="33"/>
  <c r="B3" i="20" l="1"/>
  <c r="O75" i="17"/>
  <c r="P75" i="17" s="1"/>
  <c r="N75" i="17"/>
  <c r="N74" i="17"/>
  <c r="N73" i="17"/>
  <c r="N72" i="17"/>
  <c r="O72" i="17" s="1"/>
  <c r="P72" i="17" s="1"/>
  <c r="N47" i="17"/>
  <c r="N46" i="17"/>
  <c r="O45" i="17"/>
  <c r="P45" i="17" s="1"/>
  <c r="N45" i="17"/>
  <c r="N44" i="17"/>
  <c r="V114" i="32"/>
  <c r="F114" i="32" s="1"/>
  <c r="H114" i="32"/>
  <c r="I113" i="32"/>
  <c r="J113" i="32" s="1"/>
  <c r="K113" i="32" s="1"/>
  <c r="L113" i="32" s="1"/>
  <c r="M113" i="32" s="1"/>
  <c r="N113" i="32" s="1"/>
  <c r="I112" i="32"/>
  <c r="J112" i="32" s="1"/>
  <c r="K112" i="32" s="1"/>
  <c r="L112" i="32" s="1"/>
  <c r="M112" i="32" s="1"/>
  <c r="N112" i="32" s="1"/>
  <c r="I99" i="32"/>
  <c r="J99" i="32" s="1"/>
  <c r="K99" i="32" s="1"/>
  <c r="L99" i="32" s="1"/>
  <c r="M99" i="32" s="1"/>
  <c r="N99" i="32" s="1"/>
  <c r="I98" i="32"/>
  <c r="J98" i="32" s="1"/>
  <c r="K98" i="32" s="1"/>
  <c r="L98" i="32" s="1"/>
  <c r="M98" i="32" s="1"/>
  <c r="N98" i="32" s="1"/>
  <c r="J95" i="32"/>
  <c r="K95" i="32" s="1"/>
  <c r="L95" i="32" s="1"/>
  <c r="M95" i="32" s="1"/>
  <c r="N95" i="32" s="1"/>
  <c r="I95" i="32"/>
  <c r="I93" i="32"/>
  <c r="J93" i="32" s="1"/>
  <c r="K93" i="32" s="1"/>
  <c r="L93" i="32" s="1"/>
  <c r="M93" i="32" s="1"/>
  <c r="N93" i="32" s="1"/>
  <c r="I90" i="32"/>
  <c r="J90" i="32" s="1"/>
  <c r="K90" i="32" s="1"/>
  <c r="L90" i="32" s="1"/>
  <c r="M90" i="32" s="1"/>
  <c r="N90" i="32" s="1"/>
  <c r="I87" i="32"/>
  <c r="J87" i="32" s="1"/>
  <c r="K87" i="32" s="1"/>
  <c r="L87" i="32" s="1"/>
  <c r="M87" i="32" s="1"/>
  <c r="N87" i="32" s="1"/>
  <c r="J85" i="32"/>
  <c r="K85" i="32" s="1"/>
  <c r="L85" i="32" s="1"/>
  <c r="M85" i="32" s="1"/>
  <c r="N85" i="32" s="1"/>
  <c r="I85" i="32"/>
  <c r="J83" i="32"/>
  <c r="K83" i="32" s="1"/>
  <c r="L83" i="32" s="1"/>
  <c r="M83" i="32" s="1"/>
  <c r="N83" i="32" s="1"/>
  <c r="I83" i="32"/>
  <c r="I81" i="32"/>
  <c r="J81" i="32" s="1"/>
  <c r="K81" i="32" s="1"/>
  <c r="L81" i="32" s="1"/>
  <c r="M81" i="32" s="1"/>
  <c r="N81" i="32" s="1"/>
  <c r="I79" i="32"/>
  <c r="J79" i="32" s="1"/>
  <c r="K79" i="32" s="1"/>
  <c r="L79" i="32" s="1"/>
  <c r="M79" i="32" s="1"/>
  <c r="N79" i="32" s="1"/>
  <c r="I77" i="32"/>
  <c r="J77" i="32" s="1"/>
  <c r="K77" i="32" s="1"/>
  <c r="L77" i="32" s="1"/>
  <c r="M77" i="32" s="1"/>
  <c r="N77" i="32" s="1"/>
  <c r="I74" i="32"/>
  <c r="J74" i="32" s="1"/>
  <c r="K74" i="32" s="1"/>
  <c r="L74" i="32" s="1"/>
  <c r="M74" i="32" s="1"/>
  <c r="N74" i="32" s="1"/>
  <c r="I73" i="32"/>
  <c r="J73" i="32" s="1"/>
  <c r="K73" i="32" s="1"/>
  <c r="L73" i="32" s="1"/>
  <c r="M73" i="32" s="1"/>
  <c r="N73" i="32" s="1"/>
  <c r="L70" i="32"/>
  <c r="M70" i="32" s="1"/>
  <c r="N70" i="32" s="1"/>
  <c r="I70" i="32"/>
  <c r="J70" i="32" s="1"/>
  <c r="K70" i="32" s="1"/>
  <c r="J63" i="32"/>
  <c r="K63" i="32" s="1"/>
  <c r="L63" i="32" s="1"/>
  <c r="M63" i="32" s="1"/>
  <c r="N63" i="32" s="1"/>
  <c r="I63" i="32"/>
  <c r="I61" i="32"/>
  <c r="J61" i="32" s="1"/>
  <c r="K61" i="32" s="1"/>
  <c r="L61" i="32" s="1"/>
  <c r="M61" i="32" s="1"/>
  <c r="N61" i="32" s="1"/>
  <c r="J47" i="32"/>
  <c r="K47" i="32" s="1"/>
  <c r="L47" i="32" s="1"/>
  <c r="M47" i="32" s="1"/>
  <c r="N47" i="32" s="1"/>
  <c r="O47" i="32" s="1"/>
  <c r="P47" i="32" s="1"/>
  <c r="Q47" i="32" s="1"/>
  <c r="K46" i="32"/>
  <c r="L46" i="32" s="1"/>
  <c r="M46" i="32" s="1"/>
  <c r="N46" i="32" s="1"/>
  <c r="J46" i="32"/>
  <c r="K45" i="32"/>
  <c r="L45" i="32" s="1"/>
  <c r="M45" i="32" s="1"/>
  <c r="N45" i="32" s="1"/>
  <c r="J45" i="32"/>
  <c r="J42" i="32"/>
  <c r="K42" i="32" s="1"/>
  <c r="L42" i="32" s="1"/>
  <c r="M42" i="32" s="1"/>
  <c r="N42" i="32" s="1"/>
  <c r="I42" i="32"/>
  <c r="M41" i="32"/>
  <c r="N41" i="32" s="1"/>
  <c r="J41" i="32"/>
  <c r="K41" i="32" s="1"/>
  <c r="L41" i="32" s="1"/>
  <c r="I41" i="32"/>
  <c r="M40" i="32"/>
  <c r="N40" i="32" s="1"/>
  <c r="J40" i="32"/>
  <c r="K40" i="32" s="1"/>
  <c r="L40" i="32" s="1"/>
  <c r="I40" i="32"/>
  <c r="U37" i="32"/>
  <c r="V36" i="32"/>
  <c r="F36" i="32" s="1"/>
  <c r="U36" i="32"/>
  <c r="H36" i="32"/>
  <c r="U35" i="32"/>
  <c r="K35" i="32"/>
  <c r="L35" i="32" s="1"/>
  <c r="M35" i="32" s="1"/>
  <c r="N35" i="32" s="1"/>
  <c r="I35" i="32"/>
  <c r="J35" i="32" s="1"/>
  <c r="V32" i="32"/>
  <c r="F32" i="32" s="1"/>
  <c r="U32" i="32"/>
  <c r="H32" i="32"/>
  <c r="J31" i="32"/>
  <c r="K31" i="32" s="1"/>
  <c r="L31" i="32" s="1"/>
  <c r="M31" i="32" s="1"/>
  <c r="N31" i="32" s="1"/>
  <c r="O31" i="32" s="1"/>
  <c r="P31" i="32" s="1"/>
  <c r="Q31" i="32" s="1"/>
  <c r="I31" i="32"/>
  <c r="J28" i="32"/>
  <c r="K28" i="32" s="1"/>
  <c r="L28" i="32" s="1"/>
  <c r="M28" i="32" s="1"/>
  <c r="N28" i="32" s="1"/>
  <c r="O28" i="32" s="1"/>
  <c r="P28" i="32" s="1"/>
  <c r="Q28" i="32" s="1"/>
  <c r="I28" i="32"/>
  <c r="J26" i="32"/>
  <c r="K26" i="32" s="1"/>
  <c r="L26" i="32" s="1"/>
  <c r="M26" i="32" s="1"/>
  <c r="N26" i="32" s="1"/>
  <c r="I26" i="32"/>
  <c r="J25" i="32"/>
  <c r="K25" i="32" s="1"/>
  <c r="L25" i="32" s="1"/>
  <c r="M25" i="32" s="1"/>
  <c r="N25" i="32" s="1"/>
  <c r="I25" i="32"/>
  <c r="I21" i="32"/>
  <c r="J21" i="32" s="1"/>
  <c r="K21" i="32" s="1"/>
  <c r="L21" i="32" s="1"/>
  <c r="M21" i="32" s="1"/>
  <c r="N21" i="32" s="1"/>
  <c r="O21" i="32" s="1"/>
  <c r="P21" i="32" s="1"/>
  <c r="Q21" i="32" s="1"/>
  <c r="L19" i="32"/>
  <c r="M19" i="32" s="1"/>
  <c r="N19" i="32" s="1"/>
  <c r="O19" i="32" s="1"/>
  <c r="P19" i="32" s="1"/>
  <c r="Q19" i="32" s="1"/>
  <c r="I19" i="32"/>
  <c r="J19" i="32" s="1"/>
  <c r="K19" i="32" s="1"/>
  <c r="L18" i="32"/>
  <c r="M18" i="32" s="1"/>
  <c r="N18" i="32" s="1"/>
  <c r="I18" i="32"/>
  <c r="J18" i="32" s="1"/>
  <c r="K18" i="32" s="1"/>
  <c r="I14" i="32"/>
  <c r="J14" i="32" s="1"/>
  <c r="K14" i="32" s="1"/>
  <c r="L14" i="32" s="1"/>
  <c r="M14" i="32" s="1"/>
  <c r="N14" i="32" s="1"/>
  <c r="U10" i="32"/>
  <c r="V10" i="32" s="1"/>
  <c r="F10" i="32" s="1"/>
  <c r="H10" i="32"/>
  <c r="I9" i="32"/>
  <c r="J9" i="32" s="1"/>
  <c r="K9" i="32" s="1"/>
  <c r="L9" i="32" s="1"/>
  <c r="M9" i="32" s="1"/>
  <c r="N9" i="32" s="1"/>
  <c r="O9" i="32" s="1"/>
  <c r="P9" i="32" s="1"/>
  <c r="Q9" i="32" s="1"/>
  <c r="T6" i="32"/>
  <c r="S6" i="32"/>
  <c r="R6" i="32"/>
  <c r="O6" i="32"/>
  <c r="O25" i="32" s="1"/>
  <c r="P25" i="32" s="1"/>
  <c r="Q25" i="32" s="1"/>
  <c r="O5" i="32"/>
  <c r="A2" i="32"/>
  <c r="J107" i="31"/>
  <c r="K107" i="31" s="1"/>
  <c r="L107" i="31" s="1"/>
  <c r="M107" i="31" s="1"/>
  <c r="N107" i="31" s="1"/>
  <c r="I107" i="31"/>
  <c r="I106" i="31"/>
  <c r="J106" i="31" s="1"/>
  <c r="K106" i="31" s="1"/>
  <c r="L106" i="31" s="1"/>
  <c r="M106" i="31" s="1"/>
  <c r="N106" i="31" s="1"/>
  <c r="I105" i="31"/>
  <c r="J105" i="31" s="1"/>
  <c r="K105" i="31" s="1"/>
  <c r="L105" i="31" s="1"/>
  <c r="M105" i="31" s="1"/>
  <c r="N105" i="31" s="1"/>
  <c r="U88" i="31"/>
  <c r="V88" i="31" s="1"/>
  <c r="F88" i="31" s="1"/>
  <c r="U87" i="31"/>
  <c r="V87" i="31" s="1"/>
  <c r="F87" i="31" s="1"/>
  <c r="U86" i="31"/>
  <c r="V86" i="31" s="1"/>
  <c r="F86" i="31" s="1"/>
  <c r="K85" i="31"/>
  <c r="L85" i="31" s="1"/>
  <c r="M85" i="31" s="1"/>
  <c r="N85" i="31" s="1"/>
  <c r="J85" i="31"/>
  <c r="K84" i="31"/>
  <c r="L84" i="31" s="1"/>
  <c r="M84" i="31" s="1"/>
  <c r="N84" i="31" s="1"/>
  <c r="J84" i="31"/>
  <c r="I81" i="31"/>
  <c r="J81" i="31" s="1"/>
  <c r="K81" i="31" s="1"/>
  <c r="L81" i="31" s="1"/>
  <c r="M81" i="31" s="1"/>
  <c r="N81" i="31" s="1"/>
  <c r="I80" i="31"/>
  <c r="J80" i="31" s="1"/>
  <c r="K80" i="31" s="1"/>
  <c r="L80" i="31" s="1"/>
  <c r="M80" i="31" s="1"/>
  <c r="N80" i="31" s="1"/>
  <c r="I73" i="31"/>
  <c r="J73" i="31" s="1"/>
  <c r="K73" i="31" s="1"/>
  <c r="L73" i="31" s="1"/>
  <c r="M73" i="31" s="1"/>
  <c r="N73" i="31" s="1"/>
  <c r="I72" i="31"/>
  <c r="J72" i="31" s="1"/>
  <c r="K72" i="31" s="1"/>
  <c r="L72" i="31" s="1"/>
  <c r="M72" i="31" s="1"/>
  <c r="N72" i="31" s="1"/>
  <c r="V65" i="31"/>
  <c r="F65" i="31" s="1"/>
  <c r="I63" i="31"/>
  <c r="J63" i="31" s="1"/>
  <c r="K63" i="31" s="1"/>
  <c r="L63" i="31" s="1"/>
  <c r="M63" i="31" s="1"/>
  <c r="N63" i="31" s="1"/>
  <c r="J62" i="31"/>
  <c r="K62" i="31" s="1"/>
  <c r="L62" i="31" s="1"/>
  <c r="M62" i="31" s="1"/>
  <c r="N62" i="31" s="1"/>
  <c r="I62" i="31"/>
  <c r="V59" i="31"/>
  <c r="F59" i="31" s="1"/>
  <c r="U59" i="31"/>
  <c r="I56" i="31"/>
  <c r="J56" i="31" s="1"/>
  <c r="K56" i="31" s="1"/>
  <c r="L56" i="31" s="1"/>
  <c r="M56" i="31" s="1"/>
  <c r="N56" i="31" s="1"/>
  <c r="I55" i="31"/>
  <c r="J55" i="31" s="1"/>
  <c r="K55" i="31" s="1"/>
  <c r="L55" i="31" s="1"/>
  <c r="M55" i="31" s="1"/>
  <c r="N55" i="31" s="1"/>
  <c r="J52" i="31"/>
  <c r="K52" i="31" s="1"/>
  <c r="L52" i="31" s="1"/>
  <c r="M52" i="31" s="1"/>
  <c r="N52" i="31" s="1"/>
  <c r="I52" i="31"/>
  <c r="I51" i="31"/>
  <c r="J51" i="31" s="1"/>
  <c r="K51" i="31" s="1"/>
  <c r="L51" i="31" s="1"/>
  <c r="M51" i="31" s="1"/>
  <c r="N51" i="31" s="1"/>
  <c r="J48" i="31"/>
  <c r="K48" i="31" s="1"/>
  <c r="L48" i="31" s="1"/>
  <c r="M48" i="31" s="1"/>
  <c r="N48" i="31" s="1"/>
  <c r="I48" i="31"/>
  <c r="I47" i="31"/>
  <c r="J47" i="31" s="1"/>
  <c r="K47" i="31" s="1"/>
  <c r="L47" i="31" s="1"/>
  <c r="M47" i="31" s="1"/>
  <c r="N47" i="31" s="1"/>
  <c r="I45" i="31"/>
  <c r="J45" i="31" s="1"/>
  <c r="K45" i="31" s="1"/>
  <c r="L45" i="31" s="1"/>
  <c r="M45" i="31" s="1"/>
  <c r="N45" i="31" s="1"/>
  <c r="F45" i="31"/>
  <c r="J44" i="31"/>
  <c r="K44" i="31" s="1"/>
  <c r="L44" i="31" s="1"/>
  <c r="M44" i="31" s="1"/>
  <c r="N44" i="31" s="1"/>
  <c r="I44" i="31"/>
  <c r="F44" i="31"/>
  <c r="J43" i="31"/>
  <c r="K43" i="31" s="1"/>
  <c r="L43" i="31" s="1"/>
  <c r="M43" i="31" s="1"/>
  <c r="N43" i="31" s="1"/>
  <c r="I43" i="31"/>
  <c r="F43" i="31"/>
  <c r="J39" i="31"/>
  <c r="K39" i="31" s="1"/>
  <c r="L39" i="31" s="1"/>
  <c r="M39" i="31" s="1"/>
  <c r="N39" i="31" s="1"/>
  <c r="I39" i="31"/>
  <c r="I35" i="31"/>
  <c r="J35" i="31" s="1"/>
  <c r="K35" i="31" s="1"/>
  <c r="L35" i="31" s="1"/>
  <c r="M35" i="31" s="1"/>
  <c r="N35" i="31" s="1"/>
  <c r="I26" i="31"/>
  <c r="J26" i="31" s="1"/>
  <c r="K26" i="31" s="1"/>
  <c r="L26" i="31" s="1"/>
  <c r="M26" i="31" s="1"/>
  <c r="N26" i="31" s="1"/>
  <c r="J23" i="31"/>
  <c r="K23" i="31" s="1"/>
  <c r="L23" i="31" s="1"/>
  <c r="M23" i="31" s="1"/>
  <c r="N23" i="31" s="1"/>
  <c r="O23" i="31" s="1"/>
  <c r="P23" i="31" s="1"/>
  <c r="Q23" i="31" s="1"/>
  <c r="I23" i="31"/>
  <c r="J22" i="31"/>
  <c r="K22" i="31" s="1"/>
  <c r="L22" i="31" s="1"/>
  <c r="M22" i="31" s="1"/>
  <c r="N22" i="31" s="1"/>
  <c r="Q21" i="31"/>
  <c r="P21" i="31"/>
  <c r="I20" i="31"/>
  <c r="J20" i="31" s="1"/>
  <c r="K20" i="31" s="1"/>
  <c r="L20" i="31" s="1"/>
  <c r="M20" i="31" s="1"/>
  <c r="N20" i="31" s="1"/>
  <c r="J17" i="31"/>
  <c r="K17" i="31" s="1"/>
  <c r="L17" i="31" s="1"/>
  <c r="M17" i="31" s="1"/>
  <c r="N17" i="31" s="1"/>
  <c r="I17" i="31"/>
  <c r="I16" i="31"/>
  <c r="J16" i="31" s="1"/>
  <c r="K16" i="31" s="1"/>
  <c r="L16" i="31" s="1"/>
  <c r="M16" i="31" s="1"/>
  <c r="N16" i="31" s="1"/>
  <c r="I11" i="31"/>
  <c r="J11" i="31" s="1"/>
  <c r="K11" i="31" s="1"/>
  <c r="L11" i="31" s="1"/>
  <c r="M11" i="31" s="1"/>
  <c r="N11" i="31" s="1"/>
  <c r="J10" i="31"/>
  <c r="K10" i="31" s="1"/>
  <c r="L10" i="31" s="1"/>
  <c r="M10" i="31" s="1"/>
  <c r="N10" i="31" s="1"/>
  <c r="I10" i="31"/>
  <c r="T6" i="31"/>
  <c r="S6" i="31"/>
  <c r="R6" i="31"/>
  <c r="O6" i="31"/>
  <c r="O80" i="31" s="1"/>
  <c r="P80" i="31" s="1"/>
  <c r="Q80" i="31" s="1"/>
  <c r="O5" i="31"/>
  <c r="A2" i="31"/>
  <c r="O73" i="17" l="1"/>
  <c r="P73" i="17" s="1"/>
  <c r="O74" i="17"/>
  <c r="P74" i="17" s="1"/>
  <c r="P47" i="17"/>
  <c r="P46" i="17"/>
  <c r="P44" i="17"/>
  <c r="O46" i="17"/>
  <c r="O44" i="17"/>
  <c r="O47" i="17"/>
  <c r="O107" i="31"/>
  <c r="P107" i="31" s="1"/>
  <c r="Q107" i="31" s="1"/>
  <c r="O10" i="31"/>
  <c r="P10" i="31" s="1"/>
  <c r="Q10" i="31" s="1"/>
  <c r="R10" i="31" s="1"/>
  <c r="O18" i="32"/>
  <c r="P18" i="32" s="1"/>
  <c r="Q18" i="32" s="1"/>
  <c r="R18" i="32" s="1"/>
  <c r="S18" i="32" s="1"/>
  <c r="T18" i="32" s="1"/>
  <c r="U18" i="32" s="1"/>
  <c r="O26" i="32"/>
  <c r="P26" i="32" s="1"/>
  <c r="Q26" i="32" s="1"/>
  <c r="R26" i="32" s="1"/>
  <c r="S26" i="32" s="1"/>
  <c r="T26" i="32" s="1"/>
  <c r="U26" i="32" s="1"/>
  <c r="O45" i="32"/>
  <c r="P45" i="32" s="1"/>
  <c r="Q45" i="32" s="1"/>
  <c r="O14" i="32"/>
  <c r="P14" i="32" s="1"/>
  <c r="Q14" i="32" s="1"/>
  <c r="O61" i="32"/>
  <c r="P61" i="32" s="1"/>
  <c r="Q61" i="32" s="1"/>
  <c r="R61" i="32" s="1"/>
  <c r="S61" i="32" s="1"/>
  <c r="T61" i="32" s="1"/>
  <c r="O113" i="32"/>
  <c r="P113" i="32" s="1"/>
  <c r="Q113" i="32" s="1"/>
  <c r="R113" i="32" s="1"/>
  <c r="S113" i="32" s="1"/>
  <c r="T113" i="32" s="1"/>
  <c r="U113" i="32" s="1"/>
  <c r="H37" i="32"/>
  <c r="V37" i="32"/>
  <c r="F37" i="32" s="1"/>
  <c r="R47" i="32"/>
  <c r="R21" i="32"/>
  <c r="R19" i="32"/>
  <c r="S19" i="32" s="1"/>
  <c r="T19" i="32" s="1"/>
  <c r="U19" i="32" s="1"/>
  <c r="R14" i="32"/>
  <c r="S14" i="32" s="1"/>
  <c r="T14" i="32" s="1"/>
  <c r="U14" i="32" s="1"/>
  <c r="R9" i="32"/>
  <c r="R45" i="32"/>
  <c r="R31" i="32"/>
  <c r="S31" i="32" s="1"/>
  <c r="T31" i="32" s="1"/>
  <c r="U31" i="32" s="1"/>
  <c r="H35" i="32"/>
  <c r="V35" i="32"/>
  <c r="F35" i="32" s="1"/>
  <c r="R25" i="32"/>
  <c r="S25" i="32" s="1"/>
  <c r="T25" i="32" s="1"/>
  <c r="U25" i="32" s="1"/>
  <c r="R28" i="32"/>
  <c r="S28" i="32" s="1"/>
  <c r="T28" i="32" s="1"/>
  <c r="U28" i="32" s="1"/>
  <c r="O40" i="32"/>
  <c r="P40" i="32" s="1"/>
  <c r="Q40" i="32" s="1"/>
  <c r="R40" i="32" s="1"/>
  <c r="S40" i="32" s="1"/>
  <c r="T40" i="32" s="1"/>
  <c r="U40" i="32" s="1"/>
  <c r="O41" i="32"/>
  <c r="P41" i="32" s="1"/>
  <c r="Q41" i="32" s="1"/>
  <c r="R41" i="32" s="1"/>
  <c r="S41" i="32" s="1"/>
  <c r="T41" i="32" s="1"/>
  <c r="U41" i="32" s="1"/>
  <c r="O42" i="32"/>
  <c r="P42" i="32" s="1"/>
  <c r="Q42" i="32" s="1"/>
  <c r="R42" i="32" s="1"/>
  <c r="S42" i="32" s="1"/>
  <c r="T42" i="32" s="1"/>
  <c r="U42" i="32" s="1"/>
  <c r="O63" i="32"/>
  <c r="P63" i="32" s="1"/>
  <c r="Q63" i="32" s="1"/>
  <c r="R63" i="32" s="1"/>
  <c r="O83" i="32"/>
  <c r="P83" i="32" s="1"/>
  <c r="Q83" i="32" s="1"/>
  <c r="R83" i="32" s="1"/>
  <c r="S83" i="32" s="1"/>
  <c r="T83" i="32" s="1"/>
  <c r="U83" i="32" s="1"/>
  <c r="O85" i="32"/>
  <c r="P85" i="32" s="1"/>
  <c r="Q85" i="32" s="1"/>
  <c r="R85" i="32" s="1"/>
  <c r="O95" i="32"/>
  <c r="P95" i="32" s="1"/>
  <c r="Q95" i="32" s="1"/>
  <c r="R95" i="32" s="1"/>
  <c r="O35" i="32"/>
  <c r="P35" i="32" s="1"/>
  <c r="Q35" i="32" s="1"/>
  <c r="R35" i="32" s="1"/>
  <c r="O46" i="32"/>
  <c r="P46" i="32" s="1"/>
  <c r="Q46" i="32" s="1"/>
  <c r="R46" i="32" s="1"/>
  <c r="S46" i="32" s="1"/>
  <c r="T46" i="32" s="1"/>
  <c r="U46" i="32" s="1"/>
  <c r="O70" i="32"/>
  <c r="P70" i="32" s="1"/>
  <c r="Q70" i="32" s="1"/>
  <c r="R70" i="32" s="1"/>
  <c r="S70" i="32" s="1"/>
  <c r="T70" i="32" s="1"/>
  <c r="U70" i="32" s="1"/>
  <c r="O73" i="32"/>
  <c r="P73" i="32" s="1"/>
  <c r="Q73" i="32" s="1"/>
  <c r="R73" i="32" s="1"/>
  <c r="S73" i="32" s="1"/>
  <c r="T73" i="32" s="1"/>
  <c r="U73" i="32" s="1"/>
  <c r="O74" i="32"/>
  <c r="P74" i="32" s="1"/>
  <c r="Q74" i="32" s="1"/>
  <c r="R74" i="32" s="1"/>
  <c r="S74" i="32" s="1"/>
  <c r="T74" i="32" s="1"/>
  <c r="U74" i="32" s="1"/>
  <c r="O77" i="32"/>
  <c r="P77" i="32" s="1"/>
  <c r="Q77" i="32" s="1"/>
  <c r="R77" i="32" s="1"/>
  <c r="S77" i="32" s="1"/>
  <c r="T77" i="32" s="1"/>
  <c r="U77" i="32" s="1"/>
  <c r="O79" i="32"/>
  <c r="P79" i="32" s="1"/>
  <c r="Q79" i="32" s="1"/>
  <c r="R79" i="32" s="1"/>
  <c r="S79" i="32" s="1"/>
  <c r="T79" i="32" s="1"/>
  <c r="U79" i="32" s="1"/>
  <c r="O81" i="32"/>
  <c r="P81" i="32" s="1"/>
  <c r="Q81" i="32" s="1"/>
  <c r="R81" i="32" s="1"/>
  <c r="O87" i="32"/>
  <c r="P87" i="32" s="1"/>
  <c r="Q87" i="32" s="1"/>
  <c r="R87" i="32" s="1"/>
  <c r="S87" i="32" s="1"/>
  <c r="T87" i="32" s="1"/>
  <c r="U87" i="32" s="1"/>
  <c r="O90" i="32"/>
  <c r="P90" i="32" s="1"/>
  <c r="Q90" i="32" s="1"/>
  <c r="R90" i="32" s="1"/>
  <c r="S90" i="32" s="1"/>
  <c r="T90" i="32" s="1"/>
  <c r="U90" i="32" s="1"/>
  <c r="O93" i="32"/>
  <c r="P93" i="32" s="1"/>
  <c r="Q93" i="32" s="1"/>
  <c r="R93" i="32" s="1"/>
  <c r="O98" i="32"/>
  <c r="P98" i="32" s="1"/>
  <c r="Q98" i="32" s="1"/>
  <c r="R98" i="32" s="1"/>
  <c r="S98" i="32" s="1"/>
  <c r="T98" i="32" s="1"/>
  <c r="U98" i="32" s="1"/>
  <c r="O99" i="32"/>
  <c r="P99" i="32" s="1"/>
  <c r="Q99" i="32" s="1"/>
  <c r="R99" i="32" s="1"/>
  <c r="S99" i="32" s="1"/>
  <c r="T99" i="32" s="1"/>
  <c r="U99" i="32" s="1"/>
  <c r="O112" i="32"/>
  <c r="P112" i="32" s="1"/>
  <c r="Q112" i="32" s="1"/>
  <c r="R112" i="32" s="1"/>
  <c r="S112" i="32" s="1"/>
  <c r="T112" i="32" s="1"/>
  <c r="U112" i="32" s="1"/>
  <c r="S21" i="32"/>
  <c r="S47" i="32"/>
  <c r="T47" i="32" s="1"/>
  <c r="U47" i="32" s="1"/>
  <c r="O22" i="31"/>
  <c r="P22" i="31" s="1"/>
  <c r="Q22" i="31" s="1"/>
  <c r="R22" i="31" s="1"/>
  <c r="S22" i="31" s="1"/>
  <c r="T22" i="31" s="1"/>
  <c r="U22" i="31" s="1"/>
  <c r="V22" i="31" s="1"/>
  <c r="F22" i="31" s="1"/>
  <c r="O45" i="31"/>
  <c r="P45" i="31" s="1"/>
  <c r="Q45" i="31" s="1"/>
  <c r="R45" i="31" s="1"/>
  <c r="S45" i="31" s="1"/>
  <c r="T45" i="31" s="1"/>
  <c r="H45" i="31" s="1"/>
  <c r="O56" i="31"/>
  <c r="P56" i="31" s="1"/>
  <c r="Q56" i="31" s="1"/>
  <c r="O106" i="31"/>
  <c r="P106" i="31" s="1"/>
  <c r="Q106" i="31" s="1"/>
  <c r="O55" i="31"/>
  <c r="P55" i="31" s="1"/>
  <c r="Q55" i="31" s="1"/>
  <c r="O63" i="31"/>
  <c r="P63" i="31" s="1"/>
  <c r="Q63" i="31" s="1"/>
  <c r="R63" i="31" s="1"/>
  <c r="S63" i="31" s="1"/>
  <c r="T63" i="31" s="1"/>
  <c r="U63" i="31" s="1"/>
  <c r="V63" i="31" s="1"/>
  <c r="F63" i="31" s="1"/>
  <c r="R80" i="31"/>
  <c r="S80" i="31" s="1"/>
  <c r="T80" i="31" s="1"/>
  <c r="U80" i="31" s="1"/>
  <c r="V80" i="31" s="1"/>
  <c r="F80" i="31" s="1"/>
  <c r="O85" i="31"/>
  <c r="P85" i="31" s="1"/>
  <c r="Q85" i="31" s="1"/>
  <c r="R85" i="31" s="1"/>
  <c r="S85" i="31" s="1"/>
  <c r="T85" i="31" s="1"/>
  <c r="U85" i="31" s="1"/>
  <c r="V85" i="31" s="1"/>
  <c r="F85" i="31" s="1"/>
  <c r="O105" i="31"/>
  <c r="P105" i="31" s="1"/>
  <c r="Q105" i="31" s="1"/>
  <c r="R105" i="31" s="1"/>
  <c r="S105" i="31" s="1"/>
  <c r="T105" i="31" s="1"/>
  <c r="U105" i="31" s="1"/>
  <c r="V105" i="31" s="1"/>
  <c r="F105" i="31" s="1"/>
  <c r="R23" i="31"/>
  <c r="S23" i="31" s="1"/>
  <c r="T23" i="31" s="1"/>
  <c r="U23" i="31" s="1"/>
  <c r="V23" i="31" s="1"/>
  <c r="F23" i="31" s="1"/>
  <c r="O44" i="31"/>
  <c r="P44" i="31" s="1"/>
  <c r="Q44" i="31" s="1"/>
  <c r="O52" i="31"/>
  <c r="P52" i="31" s="1"/>
  <c r="Q52" i="31" s="1"/>
  <c r="R52" i="31" s="1"/>
  <c r="S52" i="31" s="1"/>
  <c r="T52" i="31" s="1"/>
  <c r="U52" i="31" s="1"/>
  <c r="V52" i="31" s="1"/>
  <c r="F52" i="31" s="1"/>
  <c r="O62" i="31"/>
  <c r="P62" i="31" s="1"/>
  <c r="Q62" i="31" s="1"/>
  <c r="R62" i="31" s="1"/>
  <c r="S62" i="31" s="1"/>
  <c r="T62" i="31" s="1"/>
  <c r="U62" i="31" s="1"/>
  <c r="V62" i="31" s="1"/>
  <c r="F62" i="31" s="1"/>
  <c r="R107" i="31"/>
  <c r="S107" i="31" s="1"/>
  <c r="T107" i="31" s="1"/>
  <c r="U107" i="31" s="1"/>
  <c r="V107" i="31" s="1"/>
  <c r="F107" i="31" s="1"/>
  <c r="S10" i="31"/>
  <c r="T10" i="31" s="1"/>
  <c r="U10" i="31" s="1"/>
  <c r="V10" i="31" s="1"/>
  <c r="F10" i="31" s="1"/>
  <c r="O20" i="31"/>
  <c r="P20" i="31" s="1"/>
  <c r="Q20" i="31" s="1"/>
  <c r="R20" i="31" s="1"/>
  <c r="S20" i="31" s="1"/>
  <c r="T20" i="31" s="1"/>
  <c r="U20" i="31" s="1"/>
  <c r="V20" i="31" s="1"/>
  <c r="F20" i="31" s="1"/>
  <c r="O51" i="31"/>
  <c r="P51" i="31" s="1"/>
  <c r="Q51" i="31" s="1"/>
  <c r="R51" i="31" s="1"/>
  <c r="S51" i="31" s="1"/>
  <c r="T51" i="31" s="1"/>
  <c r="U51" i="31" s="1"/>
  <c r="V51" i="31" s="1"/>
  <c r="F51" i="31" s="1"/>
  <c r="R56" i="31"/>
  <c r="S56" i="31" s="1"/>
  <c r="T56" i="31" s="1"/>
  <c r="U56" i="31" s="1"/>
  <c r="V56" i="31" s="1"/>
  <c r="F56" i="31" s="1"/>
  <c r="O84" i="31"/>
  <c r="P84" i="31" s="1"/>
  <c r="Q84" i="31" s="1"/>
  <c r="R84" i="31" s="1"/>
  <c r="S84" i="31" s="1"/>
  <c r="T84" i="31" s="1"/>
  <c r="U84" i="31" s="1"/>
  <c r="V84" i="31" s="1"/>
  <c r="F84" i="31" s="1"/>
  <c r="R106" i="31"/>
  <c r="S106" i="31" s="1"/>
  <c r="T106" i="31" s="1"/>
  <c r="U106" i="31" s="1"/>
  <c r="O17" i="31"/>
  <c r="P17" i="31" s="1"/>
  <c r="Q17" i="31" s="1"/>
  <c r="R17" i="31" s="1"/>
  <c r="S17" i="31" s="1"/>
  <c r="T17" i="31" s="1"/>
  <c r="U17" i="31" s="1"/>
  <c r="V17" i="31" s="1"/>
  <c r="F17" i="31" s="1"/>
  <c r="O39" i="31"/>
  <c r="P39" i="31" s="1"/>
  <c r="Q39" i="31" s="1"/>
  <c r="R39" i="31" s="1"/>
  <c r="S39" i="31" s="1"/>
  <c r="T39" i="31" s="1"/>
  <c r="U39" i="31" s="1"/>
  <c r="V39" i="31" s="1"/>
  <c r="F39" i="31" s="1"/>
  <c r="O43" i="31"/>
  <c r="P43" i="31" s="1"/>
  <c r="Q43" i="31" s="1"/>
  <c r="R43" i="31" s="1"/>
  <c r="S43" i="31" s="1"/>
  <c r="T43" i="31" s="1"/>
  <c r="H43" i="31" s="1"/>
  <c r="O48" i="31"/>
  <c r="P48" i="31" s="1"/>
  <c r="Q48" i="31" s="1"/>
  <c r="R48" i="31" s="1"/>
  <c r="S48" i="31" s="1"/>
  <c r="T48" i="31" s="1"/>
  <c r="U48" i="31" s="1"/>
  <c r="V48" i="31" s="1"/>
  <c r="F48" i="31" s="1"/>
  <c r="R55" i="31"/>
  <c r="S55" i="31" s="1"/>
  <c r="T55" i="31" s="1"/>
  <c r="U55" i="31" s="1"/>
  <c r="V55" i="31" s="1"/>
  <c r="F55" i="31" s="1"/>
  <c r="O16" i="31"/>
  <c r="P16" i="31" s="1"/>
  <c r="Q16" i="31" s="1"/>
  <c r="R16" i="31" s="1"/>
  <c r="S16" i="31" s="1"/>
  <c r="T16" i="31" s="1"/>
  <c r="U16" i="31" s="1"/>
  <c r="V16" i="31" s="1"/>
  <c r="F16" i="31" s="1"/>
  <c r="O35" i="31"/>
  <c r="P35" i="31" s="1"/>
  <c r="Q35" i="31" s="1"/>
  <c r="R35" i="31" s="1"/>
  <c r="S35" i="31" s="1"/>
  <c r="T35" i="31" s="1"/>
  <c r="U35" i="31" s="1"/>
  <c r="V35" i="31" s="1"/>
  <c r="F35" i="31" s="1"/>
  <c r="R44" i="31"/>
  <c r="S44" i="31" s="1"/>
  <c r="T44" i="31" s="1"/>
  <c r="H44" i="31" s="1"/>
  <c r="O47" i="31"/>
  <c r="P47" i="31" s="1"/>
  <c r="Q47" i="31" s="1"/>
  <c r="R47" i="31" s="1"/>
  <c r="S47" i="31" s="1"/>
  <c r="T47" i="31" s="1"/>
  <c r="U47" i="31" s="1"/>
  <c r="V47" i="31" s="1"/>
  <c r="F47" i="31" s="1"/>
  <c r="O73" i="31"/>
  <c r="P73" i="31" s="1"/>
  <c r="Q73" i="31" s="1"/>
  <c r="R73" i="31" s="1"/>
  <c r="S73" i="31" s="1"/>
  <c r="T73" i="31" s="1"/>
  <c r="U73" i="31" s="1"/>
  <c r="V73" i="31" s="1"/>
  <c r="F73" i="31" s="1"/>
  <c r="O81" i="31"/>
  <c r="P81" i="31" s="1"/>
  <c r="Q81" i="31" s="1"/>
  <c r="R81" i="31" s="1"/>
  <c r="S81" i="31" s="1"/>
  <c r="T81" i="31" s="1"/>
  <c r="U81" i="31" s="1"/>
  <c r="V81" i="31" s="1"/>
  <c r="F81" i="31" s="1"/>
  <c r="O11" i="31"/>
  <c r="P11" i="31" s="1"/>
  <c r="Q11" i="31" s="1"/>
  <c r="R11" i="31" s="1"/>
  <c r="S11" i="31" s="1"/>
  <c r="T11" i="31" s="1"/>
  <c r="U11" i="31" s="1"/>
  <c r="V11" i="31" s="1"/>
  <c r="F11" i="31" s="1"/>
  <c r="R21" i="31"/>
  <c r="S21" i="31" s="1"/>
  <c r="T21" i="31" s="1"/>
  <c r="U21" i="31" s="1"/>
  <c r="F21" i="31" s="1"/>
  <c r="O26" i="31"/>
  <c r="P26" i="31" s="1"/>
  <c r="Q26" i="31" s="1"/>
  <c r="R26" i="31" s="1"/>
  <c r="S26" i="31" s="1"/>
  <c r="T26" i="31" s="1"/>
  <c r="U26" i="31" s="1"/>
  <c r="V26" i="31" s="1"/>
  <c r="F26" i="31" s="1"/>
  <c r="O72" i="31"/>
  <c r="P72" i="31" s="1"/>
  <c r="Q72" i="31" s="1"/>
  <c r="R72" i="31" s="1"/>
  <c r="S72" i="31" s="1"/>
  <c r="T72" i="31" s="1"/>
  <c r="U72" i="31" s="1"/>
  <c r="V72" i="31" s="1"/>
  <c r="F72" i="31" s="1"/>
  <c r="H74" i="32" l="1"/>
  <c r="V74" i="32"/>
  <c r="F74" i="32" s="1"/>
  <c r="H70" i="32"/>
  <c r="V70" i="32"/>
  <c r="F70" i="32" s="1"/>
  <c r="H46" i="32"/>
  <c r="V46" i="32"/>
  <c r="F46" i="32" s="1"/>
  <c r="H87" i="32"/>
  <c r="V87" i="32"/>
  <c r="F87" i="32" s="1"/>
  <c r="V42" i="32"/>
  <c r="F42" i="32" s="1"/>
  <c r="H42" i="32"/>
  <c r="H99" i="32"/>
  <c r="V99" i="32"/>
  <c r="F99" i="32" s="1"/>
  <c r="H113" i="32"/>
  <c r="V113" i="32"/>
  <c r="F113" i="32" s="1"/>
  <c r="H90" i="32"/>
  <c r="V90" i="32"/>
  <c r="F90" i="32" s="1"/>
  <c r="V41" i="32"/>
  <c r="F41" i="32" s="1"/>
  <c r="H41" i="32"/>
  <c r="V25" i="32"/>
  <c r="F25" i="32" s="1"/>
  <c r="H25" i="32"/>
  <c r="H79" i="32"/>
  <c r="V79" i="32"/>
  <c r="F79" i="32" s="1"/>
  <c r="V40" i="32"/>
  <c r="F40" i="32" s="1"/>
  <c r="H40" i="32"/>
  <c r="H61" i="32"/>
  <c r="U61" i="32"/>
  <c r="F61" i="32" s="1"/>
  <c r="H98" i="32"/>
  <c r="V98" i="32"/>
  <c r="F98" i="32" s="1"/>
  <c r="H112" i="32"/>
  <c r="V112" i="32"/>
  <c r="F112" i="32" s="1"/>
  <c r="H77" i="32"/>
  <c r="V77" i="32"/>
  <c r="F77" i="32" s="1"/>
  <c r="C70" i="17" s="1"/>
  <c r="V28" i="32"/>
  <c r="F28" i="32" s="1"/>
  <c r="H28" i="32"/>
  <c r="H83" i="32"/>
  <c r="V83" i="32"/>
  <c r="F83" i="32" s="1"/>
  <c r="H73" i="32"/>
  <c r="V73" i="32"/>
  <c r="F73" i="32" s="1"/>
  <c r="D42" i="17" s="1"/>
  <c r="V26" i="32"/>
  <c r="F26" i="32" s="1"/>
  <c r="H26" i="32"/>
  <c r="H19" i="32"/>
  <c r="V19" i="32"/>
  <c r="F19" i="32" s="1"/>
  <c r="H18" i="32"/>
  <c r="V18" i="32"/>
  <c r="F18" i="32" s="1"/>
  <c r="H14" i="32"/>
  <c r="V14" i="32"/>
  <c r="F14" i="32" s="1"/>
  <c r="V31" i="32"/>
  <c r="F31" i="32" s="1"/>
  <c r="H31" i="32"/>
  <c r="H47" i="32"/>
  <c r="V47" i="32"/>
  <c r="F47" i="32" s="1"/>
  <c r="U69" i="31"/>
  <c r="H69" i="31" s="1"/>
  <c r="V106" i="31"/>
  <c r="F93" i="32" l="1"/>
  <c r="F81" i="32"/>
  <c r="F95" i="32"/>
  <c r="F85" i="32"/>
  <c r="F63" i="32"/>
  <c r="F45" i="32"/>
  <c r="F21" i="32"/>
  <c r="F9" i="32"/>
  <c r="H93" i="32"/>
  <c r="H81" i="32"/>
  <c r="H21" i="32"/>
  <c r="H9" i="32"/>
  <c r="H95" i="32"/>
  <c r="H85" i="32"/>
  <c r="H45" i="32"/>
  <c r="H63" i="32"/>
  <c r="V77" i="31"/>
  <c r="V69" i="31"/>
  <c r="F106" i="31"/>
  <c r="F77" i="31" l="1"/>
  <c r="F69" i="31"/>
  <c r="K17" i="23" l="1"/>
  <c r="K18" i="23"/>
  <c r="K19" i="23"/>
  <c r="K20" i="23"/>
  <c r="K21" i="23"/>
  <c r="K22" i="23"/>
  <c r="K23" i="23"/>
  <c r="K24" i="23"/>
  <c r="K25" i="23"/>
  <c r="K26" i="23"/>
  <c r="K27" i="23"/>
  <c r="K28" i="23"/>
  <c r="K29" i="23"/>
  <c r="K30" i="23"/>
  <c r="K31" i="23"/>
  <c r="K32" i="23"/>
  <c r="K33" i="23"/>
  <c r="K34" i="23"/>
  <c r="K35" i="23"/>
  <c r="K36" i="23"/>
  <c r="K37" i="23"/>
  <c r="K38" i="23"/>
  <c r="K39" i="23"/>
  <c r="K40" i="23"/>
  <c r="K41" i="23"/>
  <c r="K42" i="23"/>
  <c r="K43" i="23"/>
  <c r="K44" i="23"/>
  <c r="K45" i="23"/>
  <c r="K46" i="23"/>
  <c r="K16" i="23"/>
  <c r="D19" i="23"/>
  <c r="D20" i="23"/>
  <c r="D21" i="23"/>
  <c r="D22" i="23"/>
  <c r="D23" i="23"/>
  <c r="D24" i="23"/>
  <c r="D25" i="23"/>
  <c r="D26" i="23"/>
  <c r="D27" i="23"/>
  <c r="D28" i="23"/>
  <c r="D29" i="23"/>
  <c r="D30" i="23"/>
  <c r="D31" i="23"/>
  <c r="D32" i="23"/>
  <c r="D33" i="23"/>
  <c r="D34" i="23"/>
  <c r="D35" i="23"/>
  <c r="D36" i="23"/>
  <c r="D37" i="23"/>
  <c r="D38" i="23"/>
  <c r="D39" i="23"/>
  <c r="D40" i="23"/>
  <c r="D41" i="23"/>
  <c r="D42" i="23"/>
  <c r="D43" i="23"/>
  <c r="D44" i="23"/>
  <c r="D45" i="23"/>
  <c r="D46" i="23"/>
  <c r="D18" i="23"/>
  <c r="D17" i="23"/>
  <c r="F28" i="29"/>
  <c r="F13" i="29" s="1"/>
  <c r="F11" i="29" s="1"/>
  <c r="H22" i="29"/>
  <c r="A22" i="29"/>
  <c r="A23" i="29" s="1"/>
  <c r="A24" i="29" s="1"/>
  <c r="A25" i="29" s="1"/>
  <c r="A26" i="29" s="1"/>
  <c r="A27" i="29" s="1"/>
  <c r="A28" i="29" s="1"/>
  <c r="A29" i="29" s="1"/>
  <c r="A30" i="29" s="1"/>
  <c r="A31" i="29" s="1"/>
  <c r="A32" i="29" s="1"/>
  <c r="A33" i="29" s="1"/>
  <c r="A34" i="29" s="1"/>
  <c r="A35" i="29" s="1"/>
  <c r="A36" i="29" s="1"/>
  <c r="A37" i="29" s="1"/>
  <c r="A38" i="29" s="1"/>
  <c r="A39" i="29" s="1"/>
  <c r="A40" i="29" s="1"/>
  <c r="A41" i="29" s="1"/>
  <c r="A42" i="29" s="1"/>
  <c r="A43" i="29" s="1"/>
  <c r="A44" i="29" s="1"/>
  <c r="A45" i="29" s="1"/>
  <c r="A46" i="29" s="1"/>
  <c r="A47" i="29" s="1"/>
  <c r="A48" i="29" s="1"/>
  <c r="A49" i="29" s="1"/>
  <c r="A50" i="29" s="1"/>
  <c r="A51" i="29" s="1"/>
  <c r="A52" i="29" s="1"/>
  <c r="A53" i="29" s="1"/>
  <c r="A54" i="29" s="1"/>
  <c r="A55" i="29" s="1"/>
  <c r="A56" i="29" s="1"/>
  <c r="A57" i="29" s="1"/>
  <c r="A58" i="29" s="1"/>
  <c r="A59" i="29" s="1"/>
  <c r="A60" i="29" s="1"/>
  <c r="A61" i="29" s="1"/>
  <c r="A62" i="29" s="1"/>
  <c r="A63" i="29" s="1"/>
  <c r="A64" i="29" s="1"/>
  <c r="A65" i="29" s="1"/>
  <c r="A66" i="29" s="1"/>
  <c r="A67" i="29" s="1"/>
  <c r="A68" i="29" s="1"/>
  <c r="I24" i="29" l="1"/>
  <c r="I14" i="29"/>
  <c r="J14" i="29" s="1"/>
  <c r="I11" i="29"/>
  <c r="J11" i="29" s="1"/>
  <c r="I8" i="29"/>
  <c r="J8" i="29" s="1"/>
  <c r="I26" i="29"/>
  <c r="I65" i="29"/>
  <c r="M25" i="29" s="1"/>
  <c r="I61" i="29"/>
  <c r="M21" i="29" s="1"/>
  <c r="I59" i="29"/>
  <c r="M19" i="29" s="1"/>
  <c r="I57" i="29"/>
  <c r="M17" i="29" s="1"/>
  <c r="I53" i="29"/>
  <c r="M13" i="29" s="1"/>
  <c r="I51" i="29"/>
  <c r="M11" i="29" s="1"/>
  <c r="I45" i="29"/>
  <c r="I41" i="29"/>
  <c r="I39" i="29"/>
  <c r="I35" i="29"/>
  <c r="I31" i="29"/>
  <c r="I15" i="29"/>
  <c r="J15" i="29" s="1"/>
  <c r="I12" i="29"/>
  <c r="J12" i="29" s="1"/>
  <c r="I10" i="29"/>
  <c r="J10" i="29" s="1"/>
  <c r="I68" i="29"/>
  <c r="M28" i="29" s="1"/>
  <c r="I60" i="29"/>
  <c r="M20" i="29" s="1"/>
  <c r="I54" i="29"/>
  <c r="M14" i="29" s="1"/>
  <c r="I48" i="29"/>
  <c r="M8" i="29" s="1"/>
  <c r="I44" i="29"/>
  <c r="I40" i="29"/>
  <c r="I34" i="29"/>
  <c r="I32" i="29"/>
  <c r="I25" i="29"/>
  <c r="I17" i="29"/>
  <c r="J17" i="29" s="1"/>
  <c r="I20" i="29"/>
  <c r="J20" i="29" s="1"/>
  <c r="I63" i="29"/>
  <c r="M23" i="29" s="1"/>
  <c r="I55" i="29"/>
  <c r="M15" i="29" s="1"/>
  <c r="I47" i="29"/>
  <c r="M7" i="29" s="1"/>
  <c r="I43" i="29"/>
  <c r="I33" i="29"/>
  <c r="I27" i="29"/>
  <c r="I9" i="29"/>
  <c r="J9" i="29" s="1"/>
  <c r="I64" i="29"/>
  <c r="M24" i="29" s="1"/>
  <c r="I56" i="29"/>
  <c r="M16" i="29" s="1"/>
  <c r="I46" i="29"/>
  <c r="I36" i="29"/>
  <c r="I67" i="29"/>
  <c r="M27" i="29" s="1"/>
  <c r="I49" i="29"/>
  <c r="M9" i="29" s="1"/>
  <c r="I37" i="29"/>
  <c r="I28" i="29"/>
  <c r="I66" i="29"/>
  <c r="M26" i="29" s="1"/>
  <c r="I62" i="29"/>
  <c r="M22" i="29" s="1"/>
  <c r="I58" i="29"/>
  <c r="M18" i="29" s="1"/>
  <c r="I50" i="29"/>
  <c r="M10" i="29" s="1"/>
  <c r="I42" i="29"/>
  <c r="I30" i="29"/>
  <c r="I29" i="29"/>
  <c r="I18" i="29"/>
  <c r="J18" i="29" s="1"/>
  <c r="I21" i="29"/>
  <c r="J21" i="29" s="1"/>
  <c r="I13" i="29"/>
  <c r="J13" i="29" s="1"/>
  <c r="I22" i="29"/>
  <c r="J22" i="29" s="1"/>
  <c r="I16" i="29"/>
  <c r="J16" i="29" s="1"/>
  <c r="I52" i="29"/>
  <c r="M12" i="29" s="1"/>
  <c r="I38" i="29"/>
  <c r="I23" i="29"/>
  <c r="I19" i="29"/>
  <c r="J19" i="29" s="1"/>
  <c r="H23" i="29"/>
  <c r="H24" i="29" l="1"/>
  <c r="J23" i="29"/>
  <c r="H25" i="29" l="1"/>
  <c r="J24" i="29"/>
  <c r="J25" i="29" l="1"/>
  <c r="H26" i="29"/>
  <c r="J26" i="29" l="1"/>
  <c r="H27" i="29"/>
  <c r="J27" i="29" l="1"/>
  <c r="H28" i="29"/>
  <c r="J28" i="29" l="1"/>
  <c r="H29" i="29"/>
  <c r="H30" i="29" l="1"/>
  <c r="J29" i="29"/>
  <c r="H31" i="29" l="1"/>
  <c r="J30" i="29"/>
  <c r="H32" i="29" l="1"/>
  <c r="J31" i="29"/>
  <c r="H33" i="29" l="1"/>
  <c r="J32" i="29"/>
  <c r="H34" i="29" l="1"/>
  <c r="J33" i="29"/>
  <c r="H35" i="29" l="1"/>
  <c r="J34" i="29"/>
  <c r="H36" i="29" l="1"/>
  <c r="J35" i="29"/>
  <c r="H37" i="29" l="1"/>
  <c r="J36" i="29"/>
  <c r="H38" i="29" l="1"/>
  <c r="J37" i="29"/>
  <c r="H39" i="29" l="1"/>
  <c r="J38" i="29"/>
  <c r="H40" i="29" l="1"/>
  <c r="J39" i="29"/>
  <c r="H41" i="29" l="1"/>
  <c r="J40" i="29"/>
  <c r="H42" i="29" l="1"/>
  <c r="J41" i="29"/>
  <c r="H43" i="29" l="1"/>
  <c r="J42" i="29"/>
  <c r="H44" i="29" l="1"/>
  <c r="J43" i="29"/>
  <c r="H45" i="29" l="1"/>
  <c r="J44" i="29"/>
  <c r="H46" i="29" l="1"/>
  <c r="J45" i="29"/>
  <c r="H47" i="29" l="1"/>
  <c r="J46" i="29"/>
  <c r="H48" i="29" l="1"/>
  <c r="J47" i="29"/>
  <c r="N8" i="29" s="1"/>
  <c r="L7" i="29"/>
  <c r="L8" i="29" l="1"/>
  <c r="H49" i="29"/>
  <c r="J48" i="29"/>
  <c r="N9" i="29" s="1"/>
  <c r="H50" i="29" l="1"/>
  <c r="J49" i="29"/>
  <c r="N10" i="29" s="1"/>
  <c r="L9" i="29"/>
  <c r="H51" i="29" l="1"/>
  <c r="L10" i="29"/>
  <c r="J50" i="29"/>
  <c r="N11" i="29" s="1"/>
  <c r="H52" i="29" l="1"/>
  <c r="L11" i="29"/>
  <c r="J51" i="29"/>
  <c r="N12" i="29" s="1"/>
  <c r="L12" i="29" l="1"/>
  <c r="H53" i="29"/>
  <c r="J52" i="29"/>
  <c r="N13" i="29" s="1"/>
  <c r="H54" i="29" l="1"/>
  <c r="J53" i="29"/>
  <c r="N14" i="29" s="1"/>
  <c r="L13" i="29"/>
  <c r="H55" i="29" l="1"/>
  <c r="J54" i="29"/>
  <c r="N15" i="29" s="1"/>
  <c r="L14" i="29"/>
  <c r="H56" i="29" l="1"/>
  <c r="L15" i="29"/>
  <c r="J55" i="29"/>
  <c r="N16" i="29" s="1"/>
  <c r="H57" i="29" l="1"/>
  <c r="L16" i="29"/>
  <c r="J56" i="29"/>
  <c r="N17" i="29" s="1"/>
  <c r="H58" i="29" l="1"/>
  <c r="J57" i="29"/>
  <c r="N18" i="29" s="1"/>
  <c r="L17" i="29"/>
  <c r="L18" i="29" l="1"/>
  <c r="H59" i="29"/>
  <c r="J58" i="29"/>
  <c r="N19" i="29" s="1"/>
  <c r="H60" i="29" l="1"/>
  <c r="J59" i="29"/>
  <c r="N20" i="29" s="1"/>
  <c r="L19" i="29"/>
  <c r="L20" i="29" l="1"/>
  <c r="H61" i="29"/>
  <c r="J60" i="29"/>
  <c r="N21" i="29" s="1"/>
  <c r="H62" i="29" l="1"/>
  <c r="J61" i="29"/>
  <c r="N22" i="29" s="1"/>
  <c r="L21" i="29"/>
  <c r="H63" i="29" l="1"/>
  <c r="L22" i="29"/>
  <c r="J62" i="29"/>
  <c r="N23" i="29" s="1"/>
  <c r="H64" i="29" l="1"/>
  <c r="J63" i="29"/>
  <c r="N24" i="29" s="1"/>
  <c r="L23" i="29"/>
  <c r="H65" i="29" l="1"/>
  <c r="J64" i="29"/>
  <c r="N25" i="29" s="1"/>
  <c r="L24" i="29"/>
  <c r="H66" i="29" l="1"/>
  <c r="L25" i="29"/>
  <c r="J65" i="29"/>
  <c r="N26" i="29" s="1"/>
  <c r="L26" i="29" l="1"/>
  <c r="H67" i="29"/>
  <c r="J66" i="29"/>
  <c r="N27" i="29" s="1"/>
  <c r="H68" i="29" l="1"/>
  <c r="L27" i="29"/>
  <c r="J67" i="29"/>
  <c r="N28" i="29" s="1"/>
  <c r="L28" i="29" l="1"/>
  <c r="J68" i="29"/>
  <c r="N29" i="29" s="1"/>
  <c r="D271" i="26" l="1"/>
  <c r="D270" i="26"/>
  <c r="D269" i="26"/>
  <c r="D266" i="26"/>
  <c r="D265" i="26"/>
  <c r="D264" i="26"/>
  <c r="D263" i="26"/>
  <c r="B258" i="26"/>
  <c r="C257" i="26" s="1"/>
  <c r="B250" i="26"/>
  <c r="B253" i="26" s="1"/>
  <c r="C252" i="26" s="1"/>
  <c r="K236" i="26"/>
  <c r="B233" i="26"/>
  <c r="C231" i="26" s="1"/>
  <c r="B227" i="26"/>
  <c r="B225" i="26"/>
  <c r="D220" i="26"/>
  <c r="D219" i="26"/>
  <c r="D218" i="26"/>
  <c r="D216" i="26"/>
  <c r="D215" i="26"/>
  <c r="D214" i="26"/>
  <c r="D213" i="26"/>
  <c r="D212" i="26"/>
  <c r="K210" i="26"/>
  <c r="B206" i="26"/>
  <c r="B204" i="26"/>
  <c r="E200" i="26"/>
  <c r="D200" i="26"/>
  <c r="E199" i="26"/>
  <c r="D199" i="26"/>
  <c r="D198" i="26"/>
  <c r="D197" i="26"/>
  <c r="D196" i="26"/>
  <c r="K194" i="26"/>
  <c r="C191" i="26"/>
  <c r="B191" i="26"/>
  <c r="E184" i="26"/>
  <c r="E183" i="26"/>
  <c r="E182" i="26"/>
  <c r="E181" i="26"/>
  <c r="E180" i="26"/>
  <c r="K178" i="26"/>
  <c r="C175" i="26"/>
  <c r="B175" i="26"/>
  <c r="D168" i="26"/>
  <c r="D167" i="26"/>
  <c r="D166" i="26"/>
  <c r="D165" i="26"/>
  <c r="D164" i="26"/>
  <c r="K162" i="26"/>
  <c r="C159" i="26"/>
  <c r="B159" i="26"/>
  <c r="D151" i="26"/>
  <c r="D150" i="26"/>
  <c r="D149" i="26"/>
  <c r="D148" i="26"/>
  <c r="D147" i="26"/>
  <c r="E145" i="26"/>
  <c r="D145" i="26"/>
  <c r="D139" i="26" s="1"/>
  <c r="E144" i="26"/>
  <c r="E143" i="26"/>
  <c r="E142" i="26"/>
  <c r="E141" i="26"/>
  <c r="E135" i="26" s="1"/>
  <c r="E139" i="26"/>
  <c r="E138" i="26"/>
  <c r="E137" i="26"/>
  <c r="E136" i="26"/>
  <c r="D128" i="26"/>
  <c r="D127" i="26"/>
  <c r="D125" i="26"/>
  <c r="D124" i="26"/>
  <c r="K122" i="26"/>
  <c r="B117" i="26"/>
  <c r="B116" i="26"/>
  <c r="K101" i="26"/>
  <c r="B98" i="26"/>
  <c r="C97" i="26" s="1"/>
  <c r="C96" i="26"/>
  <c r="E111" i="26" s="1"/>
  <c r="I111" i="26" s="1"/>
  <c r="D63" i="26"/>
  <c r="D62" i="26"/>
  <c r="D60" i="26"/>
  <c r="D59" i="26"/>
  <c r="D58" i="26"/>
  <c r="D43" i="26"/>
  <c r="D42" i="26"/>
  <c r="D41" i="26"/>
  <c r="D39" i="26"/>
  <c r="D38" i="26"/>
  <c r="D37" i="26"/>
  <c r="D36" i="26"/>
  <c r="D35" i="26"/>
  <c r="D34" i="26"/>
  <c r="D33" i="26"/>
  <c r="D31" i="26"/>
  <c r="D29" i="26"/>
  <c r="D27" i="26"/>
  <c r="D28" i="26"/>
  <c r="K24" i="26"/>
  <c r="K261" i="26" s="1"/>
  <c r="B22" i="26"/>
  <c r="C20" i="26" s="1"/>
  <c r="C21" i="26"/>
  <c r="C10" i="26"/>
  <c r="D10" i="26" s="1"/>
  <c r="E10" i="26" s="1"/>
  <c r="C9" i="26"/>
  <c r="B9" i="26"/>
  <c r="D8" i="26"/>
  <c r="D7" i="26"/>
  <c r="E7" i="26" s="1"/>
  <c r="D6" i="26"/>
  <c r="E6" i="26" s="1"/>
  <c r="H216" i="26" s="1"/>
  <c r="H150" i="26" l="1"/>
  <c r="C232" i="26"/>
  <c r="H34" i="26"/>
  <c r="H43" i="26"/>
  <c r="B119" i="26"/>
  <c r="B207" i="26"/>
  <c r="C206" i="26" s="1"/>
  <c r="H218" i="26"/>
  <c r="H265" i="26"/>
  <c r="H149" i="26"/>
  <c r="H219" i="26"/>
  <c r="H266" i="26"/>
  <c r="C255" i="26"/>
  <c r="H269" i="26"/>
  <c r="H139" i="26"/>
  <c r="H147" i="26"/>
  <c r="K56" i="26"/>
  <c r="K65" i="26" s="1"/>
  <c r="D9" i="26"/>
  <c r="E9" i="26" s="1"/>
  <c r="I182" i="26" s="1"/>
  <c r="E104" i="26"/>
  <c r="I104" i="26" s="1"/>
  <c r="H167" i="26"/>
  <c r="H198" i="26"/>
  <c r="B228" i="26"/>
  <c r="C227" i="26" s="1"/>
  <c r="C256" i="26"/>
  <c r="E269" i="26" s="1"/>
  <c r="H166" i="26"/>
  <c r="H168" i="26"/>
  <c r="H183" i="26"/>
  <c r="H199" i="26"/>
  <c r="H213" i="26"/>
  <c r="H270" i="26"/>
  <c r="H145" i="26"/>
  <c r="H214" i="26"/>
  <c r="H263" i="26"/>
  <c r="H271" i="26"/>
  <c r="C19" i="26"/>
  <c r="C22" i="26" s="1"/>
  <c r="H33" i="26"/>
  <c r="H42" i="26"/>
  <c r="C95" i="26"/>
  <c r="I145" i="26"/>
  <c r="H264" i="26"/>
  <c r="M73" i="26"/>
  <c r="C109" i="17" s="1"/>
  <c r="K71" i="26"/>
  <c r="C91" i="17" s="1"/>
  <c r="L68" i="26"/>
  <c r="C96" i="17" s="1"/>
  <c r="K73" i="26"/>
  <c r="C93" i="17" s="1"/>
  <c r="L70" i="26"/>
  <c r="C98" i="17" s="1"/>
  <c r="M67" i="26"/>
  <c r="C103" i="17" s="1"/>
  <c r="K68" i="26"/>
  <c r="C88" i="17" s="1"/>
  <c r="H127" i="26"/>
  <c r="K127" i="26" s="1"/>
  <c r="C19" i="17" s="1"/>
  <c r="M72" i="26"/>
  <c r="C108" i="17" s="1"/>
  <c r="K70" i="26"/>
  <c r="C90" i="17" s="1"/>
  <c r="L67" i="26"/>
  <c r="C95" i="17" s="1"/>
  <c r="H62" i="26"/>
  <c r="H59" i="26"/>
  <c r="H36" i="26"/>
  <c r="M70" i="26"/>
  <c r="C106" i="17" s="1"/>
  <c r="L72" i="26"/>
  <c r="C100" i="17" s="1"/>
  <c r="M69" i="26"/>
  <c r="C105" i="17" s="1"/>
  <c r="K67" i="26"/>
  <c r="C87" i="17" s="1"/>
  <c r="H39" i="26"/>
  <c r="K72" i="26"/>
  <c r="C92" i="17" s="1"/>
  <c r="L69" i="26"/>
  <c r="C97" i="17" s="1"/>
  <c r="H124" i="26"/>
  <c r="K124" i="26" s="1"/>
  <c r="C17" i="17" s="1"/>
  <c r="M71" i="26"/>
  <c r="C107" i="17" s="1"/>
  <c r="K69" i="26"/>
  <c r="C89" i="17" s="1"/>
  <c r="L73" i="26"/>
  <c r="C101" i="17" s="1"/>
  <c r="H38" i="26"/>
  <c r="L71" i="26"/>
  <c r="C99" i="17" s="1"/>
  <c r="M68" i="26"/>
  <c r="C104" i="17" s="1"/>
  <c r="H63" i="26"/>
  <c r="K63" i="26" s="1"/>
  <c r="H60" i="26"/>
  <c r="H58" i="26"/>
  <c r="H41" i="26"/>
  <c r="H35" i="26"/>
  <c r="I180" i="26"/>
  <c r="C205" i="26"/>
  <c r="C204" i="26"/>
  <c r="H125" i="26"/>
  <c r="K125" i="26" s="1"/>
  <c r="C18" i="17" s="1"/>
  <c r="E242" i="26"/>
  <c r="I242" i="26" s="1"/>
  <c r="E244" i="26"/>
  <c r="I244" i="26" s="1"/>
  <c r="E245" i="26"/>
  <c r="I245" i="26" s="1"/>
  <c r="E246" i="26"/>
  <c r="I246" i="26" s="1"/>
  <c r="E238" i="26"/>
  <c r="I238" i="26" s="1"/>
  <c r="E239" i="26"/>
  <c r="I239" i="26" s="1"/>
  <c r="E240" i="26"/>
  <c r="I240" i="26" s="1"/>
  <c r="E241" i="26"/>
  <c r="I241" i="26" s="1"/>
  <c r="H37" i="26"/>
  <c r="C258" i="26"/>
  <c r="H28" i="26"/>
  <c r="I150" i="26"/>
  <c r="I38" i="26"/>
  <c r="I198" i="26"/>
  <c r="I166" i="26"/>
  <c r="I148" i="26"/>
  <c r="I144" i="26"/>
  <c r="I62" i="26"/>
  <c r="I59" i="26"/>
  <c r="I36" i="26"/>
  <c r="I42" i="26"/>
  <c r="I199" i="26"/>
  <c r="I196" i="26"/>
  <c r="I184" i="26"/>
  <c r="I164" i="26"/>
  <c r="I151" i="26"/>
  <c r="I39" i="26"/>
  <c r="I167" i="26"/>
  <c r="I43" i="26"/>
  <c r="I34" i="26"/>
  <c r="I27" i="26"/>
  <c r="I149" i="26"/>
  <c r="I37" i="26"/>
  <c r="I197" i="26"/>
  <c r="I165" i="26"/>
  <c r="I139" i="26"/>
  <c r="I136" i="26"/>
  <c r="I60" i="26"/>
  <c r="I58" i="26"/>
  <c r="I41" i="26"/>
  <c r="I137" i="26"/>
  <c r="I33" i="26"/>
  <c r="I28" i="26"/>
  <c r="I168" i="26"/>
  <c r="I147" i="26"/>
  <c r="I35" i="26"/>
  <c r="I141" i="26"/>
  <c r="H27" i="26"/>
  <c r="H128" i="26"/>
  <c r="K128" i="26" s="1"/>
  <c r="C20" i="17" s="1"/>
  <c r="I143" i="26"/>
  <c r="I183" i="26"/>
  <c r="C226" i="26"/>
  <c r="C225" i="26"/>
  <c r="I269" i="26"/>
  <c r="H29" i="26"/>
  <c r="K29" i="26" s="1"/>
  <c r="D51" i="17" s="1"/>
  <c r="J218" i="26"/>
  <c r="J213" i="26"/>
  <c r="J198" i="26"/>
  <c r="K198" i="26" s="1"/>
  <c r="C21" i="12" s="1"/>
  <c r="J166" i="26"/>
  <c r="J141" i="26"/>
  <c r="J137" i="26"/>
  <c r="J42" i="26"/>
  <c r="J33" i="26"/>
  <c r="K33" i="26" s="1"/>
  <c r="D54" i="17" s="1"/>
  <c r="J28" i="26"/>
  <c r="J271" i="26"/>
  <c r="J219" i="26"/>
  <c r="J214" i="26"/>
  <c r="J199" i="26"/>
  <c r="J196" i="26"/>
  <c r="J184" i="26"/>
  <c r="J164" i="26"/>
  <c r="J151" i="26"/>
  <c r="J135" i="26"/>
  <c r="J39" i="26"/>
  <c r="J265" i="26"/>
  <c r="J148" i="26"/>
  <c r="J36" i="26"/>
  <c r="J266" i="26"/>
  <c r="J167" i="26"/>
  <c r="K167" i="26" s="1"/>
  <c r="J145" i="26"/>
  <c r="K145" i="26" s="1"/>
  <c r="J142" i="26"/>
  <c r="J138" i="26"/>
  <c r="J43" i="26"/>
  <c r="J34" i="26"/>
  <c r="J27" i="26"/>
  <c r="J220" i="26"/>
  <c r="J215" i="26"/>
  <c r="J200" i="26"/>
  <c r="J182" i="26"/>
  <c r="J149" i="26"/>
  <c r="J37" i="26"/>
  <c r="J269" i="26"/>
  <c r="J263" i="26"/>
  <c r="J197" i="26"/>
  <c r="J165" i="26"/>
  <c r="J139" i="26"/>
  <c r="J136" i="26"/>
  <c r="J41" i="26"/>
  <c r="J35" i="26"/>
  <c r="J181" i="26"/>
  <c r="J144" i="26"/>
  <c r="J216" i="26"/>
  <c r="J212" i="26"/>
  <c r="J180" i="26"/>
  <c r="J168" i="26"/>
  <c r="K168" i="26" s="1"/>
  <c r="J147" i="26"/>
  <c r="J143" i="26"/>
  <c r="J270" i="26"/>
  <c r="J264" i="26"/>
  <c r="J183" i="26"/>
  <c r="J150" i="26"/>
  <c r="K150" i="26" s="1"/>
  <c r="J38" i="26"/>
  <c r="H31" i="26"/>
  <c r="K31" i="26" s="1"/>
  <c r="D52" i="17" s="1"/>
  <c r="C118" i="26"/>
  <c r="C117" i="26"/>
  <c r="C116" i="26"/>
  <c r="D109" i="26"/>
  <c r="E110" i="26"/>
  <c r="I110" i="26" s="1"/>
  <c r="H136" i="26"/>
  <c r="H165" i="26"/>
  <c r="H197" i="26"/>
  <c r="D108" i="26"/>
  <c r="E109" i="26"/>
  <c r="I109" i="26" s="1"/>
  <c r="D135" i="26"/>
  <c r="H135" i="26" s="1"/>
  <c r="H182" i="26"/>
  <c r="H200" i="26"/>
  <c r="H215" i="26"/>
  <c r="H220" i="26"/>
  <c r="E266" i="26"/>
  <c r="I266" i="26" s="1"/>
  <c r="K266" i="26" s="1"/>
  <c r="D107" i="26"/>
  <c r="E108" i="26"/>
  <c r="I108" i="26" s="1"/>
  <c r="H138" i="26"/>
  <c r="H142" i="26"/>
  <c r="D106" i="26"/>
  <c r="E107" i="26"/>
  <c r="I107" i="26" s="1"/>
  <c r="H151" i="26"/>
  <c r="H164" i="26"/>
  <c r="K164" i="26" s="1"/>
  <c r="C15" i="12" s="1"/>
  <c r="H184" i="26"/>
  <c r="K184" i="26" s="1"/>
  <c r="H196" i="26"/>
  <c r="C250" i="26"/>
  <c r="E265" i="26"/>
  <c r="I265" i="26" s="1"/>
  <c r="K265" i="26" s="1"/>
  <c r="C13" i="16" s="1"/>
  <c r="E271" i="26"/>
  <c r="I271" i="26" s="1"/>
  <c r="C98" i="26"/>
  <c r="D105" i="26"/>
  <c r="E106" i="26"/>
  <c r="I106" i="26" s="1"/>
  <c r="H144" i="26"/>
  <c r="K144" i="26" s="1"/>
  <c r="H148" i="26"/>
  <c r="K148" i="26" s="1"/>
  <c r="H181" i="26"/>
  <c r="C230" i="26"/>
  <c r="C251" i="26"/>
  <c r="D104" i="26"/>
  <c r="E105" i="26"/>
  <c r="I105" i="26" s="1"/>
  <c r="H137" i="26"/>
  <c r="K137" i="26" s="1"/>
  <c r="C13" i="12" s="1"/>
  <c r="H141" i="26"/>
  <c r="E264" i="26"/>
  <c r="I264" i="26" s="1"/>
  <c r="K264" i="26" s="1"/>
  <c r="C12" i="16" s="1"/>
  <c r="E270" i="26"/>
  <c r="I270" i="26" s="1"/>
  <c r="K270" i="26" s="1"/>
  <c r="C16" i="16" s="1"/>
  <c r="E103" i="26"/>
  <c r="I103" i="26" s="1"/>
  <c r="H143" i="26"/>
  <c r="H180" i="26"/>
  <c r="H212" i="26"/>
  <c r="E263" i="26"/>
  <c r="I263" i="26" s="1"/>
  <c r="K263" i="26" s="1"/>
  <c r="C11" i="16" s="1"/>
  <c r="K269" i="26" l="1"/>
  <c r="C15" i="16" s="1"/>
  <c r="K147" i="26"/>
  <c r="K42" i="26"/>
  <c r="D64" i="17" s="1"/>
  <c r="K181" i="26"/>
  <c r="C24" i="12" s="1"/>
  <c r="K138" i="26"/>
  <c r="I142" i="26"/>
  <c r="I200" i="26"/>
  <c r="K200" i="26" s="1"/>
  <c r="I181" i="26"/>
  <c r="I138" i="26"/>
  <c r="K139" i="26"/>
  <c r="I135" i="26"/>
  <c r="K135" i="26" s="1"/>
  <c r="C11" i="12" s="1"/>
  <c r="K34" i="26"/>
  <c r="D55" i="17" s="1"/>
  <c r="K199" i="26"/>
  <c r="K59" i="26"/>
  <c r="C83" i="17" s="1"/>
  <c r="K43" i="26"/>
  <c r="D65" i="17" s="1"/>
  <c r="K165" i="26"/>
  <c r="C16" i="12" s="1"/>
  <c r="K183" i="26"/>
  <c r="D110" i="26"/>
  <c r="D111" i="26"/>
  <c r="D103" i="26"/>
  <c r="K271" i="26"/>
  <c r="C17" i="16" s="1"/>
  <c r="K143" i="26"/>
  <c r="C253" i="26"/>
  <c r="K149" i="26"/>
  <c r="K37" i="26"/>
  <c r="D58" i="17" s="1"/>
  <c r="K166" i="26"/>
  <c r="C17" i="12" s="1"/>
  <c r="K36" i="26"/>
  <c r="D57" i="17" s="1"/>
  <c r="H107" i="26"/>
  <c r="F107" i="26"/>
  <c r="J107" i="26" s="1"/>
  <c r="K197" i="26"/>
  <c r="C20" i="12" s="1"/>
  <c r="C207" i="26"/>
  <c r="K62" i="26"/>
  <c r="C85" i="17" s="1"/>
  <c r="K151" i="26"/>
  <c r="E216" i="26"/>
  <c r="I216" i="26" s="1"/>
  <c r="K216" i="26" s="1"/>
  <c r="E218" i="26"/>
  <c r="I218" i="26" s="1"/>
  <c r="K218" i="26" s="1"/>
  <c r="C30" i="12" s="1"/>
  <c r="E213" i="26"/>
  <c r="I213" i="26" s="1"/>
  <c r="K213" i="26" s="1"/>
  <c r="C28" i="12" s="1"/>
  <c r="E219" i="26"/>
  <c r="I219" i="26" s="1"/>
  <c r="K219" i="26" s="1"/>
  <c r="C31" i="12" s="1"/>
  <c r="E214" i="26"/>
  <c r="I214" i="26" s="1"/>
  <c r="K214" i="26" s="1"/>
  <c r="C29" i="12" s="1"/>
  <c r="E220" i="26"/>
  <c r="I220" i="26" s="1"/>
  <c r="E215" i="26"/>
  <c r="I215" i="26" s="1"/>
  <c r="E212" i="26"/>
  <c r="I212" i="26" s="1"/>
  <c r="K212" i="26" s="1"/>
  <c r="C27" i="12" s="1"/>
  <c r="K39" i="26"/>
  <c r="D60" i="17" s="1"/>
  <c r="K60" i="26"/>
  <c r="C84" i="17" s="1"/>
  <c r="H108" i="26"/>
  <c r="F108" i="26"/>
  <c r="J108" i="26" s="1"/>
  <c r="K220" i="26"/>
  <c r="C32" i="12" s="1"/>
  <c r="K180" i="26"/>
  <c r="C23" i="12" s="1"/>
  <c r="F104" i="26"/>
  <c r="J104" i="26" s="1"/>
  <c r="H104" i="26"/>
  <c r="K215" i="26"/>
  <c r="K136" i="26"/>
  <c r="C12" i="12" s="1"/>
  <c r="K38" i="26"/>
  <c r="D59" i="17" s="1"/>
  <c r="K141" i="26"/>
  <c r="F106" i="26"/>
  <c r="J106" i="26" s="1"/>
  <c r="H106" i="26"/>
  <c r="C119" i="26"/>
  <c r="K28" i="26"/>
  <c r="D50" i="17" s="1"/>
  <c r="K35" i="26"/>
  <c r="D56" i="17" s="1"/>
  <c r="H105" i="26"/>
  <c r="F105" i="26"/>
  <c r="J105" i="26" s="1"/>
  <c r="D241" i="26"/>
  <c r="D242" i="26"/>
  <c r="D244" i="26"/>
  <c r="D245" i="26"/>
  <c r="D246" i="26"/>
  <c r="D238" i="26"/>
  <c r="D239" i="26"/>
  <c r="D240" i="26"/>
  <c r="C233" i="26"/>
  <c r="K142" i="26"/>
  <c r="K182" i="26"/>
  <c r="C25" i="12" s="1"/>
  <c r="C228" i="26"/>
  <c r="K27" i="26"/>
  <c r="D49" i="17" s="1"/>
  <c r="K41" i="26"/>
  <c r="D63" i="17" s="1"/>
  <c r="H109" i="26"/>
  <c r="F109" i="26"/>
  <c r="J109" i="26" s="1"/>
  <c r="K58" i="26"/>
  <c r="C82" i="17" s="1"/>
  <c r="K196" i="26"/>
  <c r="C19" i="12" s="1"/>
  <c r="K106" i="26" l="1"/>
  <c r="C28" i="17" s="1"/>
  <c r="H111" i="26"/>
  <c r="F111" i="26"/>
  <c r="J111" i="26" s="1"/>
  <c r="H110" i="26"/>
  <c r="F110" i="26"/>
  <c r="J110" i="26" s="1"/>
  <c r="H103" i="26"/>
  <c r="F103" i="26"/>
  <c r="J103" i="26" s="1"/>
  <c r="F244" i="26"/>
  <c r="J244" i="26" s="1"/>
  <c r="H244" i="26"/>
  <c r="K104" i="26"/>
  <c r="C25" i="17" s="1"/>
  <c r="H241" i="26"/>
  <c r="F241" i="26"/>
  <c r="J241" i="26" s="1"/>
  <c r="H240" i="26"/>
  <c r="F240" i="26"/>
  <c r="J240" i="26" s="1"/>
  <c r="H245" i="26"/>
  <c r="F245" i="26"/>
  <c r="J245" i="26" s="1"/>
  <c r="K109" i="26"/>
  <c r="C31" i="17" s="1"/>
  <c r="H239" i="26"/>
  <c r="F239" i="26"/>
  <c r="J239" i="26" s="1"/>
  <c r="K105" i="26"/>
  <c r="C26" i="17" s="1"/>
  <c r="H242" i="26"/>
  <c r="F242" i="26"/>
  <c r="J242" i="26" s="1"/>
  <c r="H238" i="26"/>
  <c r="F238" i="26"/>
  <c r="J238" i="26" s="1"/>
  <c r="H246" i="26"/>
  <c r="F246" i="26"/>
  <c r="J246" i="26" s="1"/>
  <c r="K108" i="26"/>
  <c r="C30" i="17" s="1"/>
  <c r="K107" i="26"/>
  <c r="C29" i="17" s="1"/>
  <c r="K103" i="26" l="1"/>
  <c r="C24" i="17" s="1"/>
  <c r="K238" i="26"/>
  <c r="C10" i="14" s="1"/>
  <c r="K245" i="26"/>
  <c r="C14" i="14" s="1"/>
  <c r="K241" i="26"/>
  <c r="K110" i="26"/>
  <c r="C32" i="17" s="1"/>
  <c r="K111" i="26"/>
  <c r="C33" i="17" s="1"/>
  <c r="K240" i="26"/>
  <c r="C12" i="14" s="1"/>
  <c r="K242" i="26"/>
  <c r="K239" i="26"/>
  <c r="C11" i="14" s="1"/>
  <c r="K246" i="26"/>
  <c r="C15" i="14" s="1"/>
  <c r="K244" i="26"/>
  <c r="C13" i="14" s="1"/>
  <c r="C6" i="22" l="1"/>
  <c r="C5" i="22"/>
  <c r="C4" i="22"/>
  <c r="C3" i="22"/>
  <c r="D8" i="23"/>
  <c r="D7" i="23"/>
  <c r="D6" i="23"/>
  <c r="D5" i="23"/>
  <c r="F16" i="23"/>
  <c r="D4" i="23"/>
  <c r="E37" i="17" l="1"/>
  <c r="B12" i="20"/>
  <c r="B11" i="20"/>
  <c r="B10" i="20"/>
  <c r="B10" i="17"/>
  <c r="B13" i="21"/>
  <c r="B11" i="12" s="1"/>
  <c r="B83" i="17"/>
  <c r="B50" i="17"/>
  <c r="B27" i="12" l="1"/>
  <c r="B23" i="12"/>
  <c r="B19" i="12"/>
  <c r="B15" i="12"/>
  <c r="B7" i="16"/>
  <c r="B29" i="12"/>
  <c r="B28" i="12"/>
  <c r="B25" i="12"/>
  <c r="B24" i="12"/>
  <c r="B21" i="12"/>
  <c r="B20" i="12"/>
  <c r="B17" i="12"/>
  <c r="B16" i="12"/>
  <c r="B12" i="12"/>
  <c r="B14" i="16"/>
  <c r="B13" i="16"/>
  <c r="B12" i="16"/>
  <c r="B11" i="16"/>
  <c r="B6" i="20" l="1"/>
  <c r="B5" i="20"/>
  <c r="B4" i="20"/>
  <c r="M16" i="23"/>
  <c r="F17" i="23"/>
  <c r="M17" i="23"/>
  <c r="F18" i="23"/>
  <c r="M18" i="23"/>
  <c r="F19" i="23"/>
  <c r="M19" i="23"/>
  <c r="F20" i="23"/>
  <c r="M20" i="23"/>
  <c r="F21" i="23"/>
  <c r="M21" i="23"/>
  <c r="F22" i="23"/>
  <c r="M22" i="23"/>
  <c r="F23" i="23"/>
  <c r="M23" i="23"/>
  <c r="F24" i="23"/>
  <c r="M24" i="23"/>
  <c r="F25" i="23"/>
  <c r="M25" i="23"/>
  <c r="F26" i="23"/>
  <c r="M26" i="23"/>
  <c r="F27" i="23"/>
  <c r="M27" i="23"/>
  <c r="F28" i="23"/>
  <c r="M28" i="23"/>
  <c r="F29" i="23"/>
  <c r="M29" i="23"/>
  <c r="F30" i="23"/>
  <c r="M30" i="23"/>
  <c r="F31" i="23"/>
  <c r="M31" i="23"/>
  <c r="F32" i="23"/>
  <c r="M32" i="23"/>
  <c r="F33" i="23"/>
  <c r="M33" i="23"/>
  <c r="F34" i="23"/>
  <c r="M34" i="23"/>
  <c r="F35" i="23"/>
  <c r="M35" i="23"/>
  <c r="F36" i="23"/>
  <c r="M36" i="23"/>
  <c r="F37" i="23"/>
  <c r="M37" i="23"/>
  <c r="F38" i="23"/>
  <c r="M38" i="23"/>
  <c r="F39" i="23"/>
  <c r="M39" i="23"/>
  <c r="F40" i="23"/>
  <c r="M40" i="23"/>
  <c r="F41" i="23"/>
  <c r="M41" i="23"/>
  <c r="F42" i="23"/>
  <c r="M42" i="23"/>
  <c r="F43" i="23"/>
  <c r="M43" i="23"/>
  <c r="F44" i="23"/>
  <c r="M44" i="23"/>
  <c r="F45" i="23"/>
  <c r="M45" i="23"/>
  <c r="F46" i="23"/>
  <c r="M46" i="23"/>
  <c r="M47" i="23" l="1"/>
  <c r="E13" i="23" s="1"/>
  <c r="D18" i="10" s="1" a="1"/>
  <c r="D18" i="10" s="1"/>
  <c r="B6" i="16"/>
  <c r="B5" i="16"/>
  <c r="B4" i="16"/>
  <c r="B3" i="16"/>
  <c r="B6" i="14"/>
  <c r="B5" i="14"/>
  <c r="B4" i="14"/>
  <c r="B3" i="14"/>
  <c r="B8" i="17"/>
  <c r="B3" i="10" l="1"/>
  <c r="B4" i="10"/>
  <c r="B5" i="10"/>
  <c r="B6" i="10"/>
  <c r="C76" i="17" l="1"/>
  <c r="C77" i="17"/>
  <c r="C78" i="17"/>
  <c r="C75" i="17"/>
  <c r="D115" i="17"/>
  <c r="D114" i="17"/>
  <c r="D113" i="17"/>
  <c r="B78" i="17"/>
  <c r="B77" i="17"/>
  <c r="B76" i="17"/>
  <c r="B75" i="17"/>
  <c r="B65" i="17"/>
  <c r="F65" i="17" s="1"/>
  <c r="C46" i="17"/>
  <c r="C45" i="17"/>
  <c r="B28" i="17"/>
  <c r="E28" i="17" s="1"/>
  <c r="E75" i="17" l="1"/>
  <c r="E76" i="17"/>
  <c r="E78" i="17"/>
  <c r="E77" i="17"/>
  <c r="C42" i="17"/>
  <c r="C14" i="16"/>
  <c r="B46" i="17"/>
  <c r="B45" i="17"/>
  <c r="B44" i="17"/>
  <c r="B43" i="17"/>
  <c r="F43" i="17" s="1"/>
  <c r="B109" i="17"/>
  <c r="B108" i="17"/>
  <c r="B107" i="17"/>
  <c r="B106" i="17"/>
  <c r="B104" i="17"/>
  <c r="B105" i="17"/>
  <c r="B103" i="17"/>
  <c r="B101" i="17"/>
  <c r="B100" i="17"/>
  <c r="B99" i="17"/>
  <c r="B98" i="17"/>
  <c r="B97" i="17"/>
  <c r="B96" i="17"/>
  <c r="B95" i="17"/>
  <c r="B93" i="17"/>
  <c r="B92" i="17"/>
  <c r="B91" i="17"/>
  <c r="B90" i="17"/>
  <c r="B89" i="17"/>
  <c r="B88" i="17"/>
  <c r="B87" i="17"/>
  <c r="B85" i="17"/>
  <c r="B84" i="17"/>
  <c r="B82" i="17"/>
  <c r="B72" i="17"/>
  <c r="B71" i="17"/>
  <c r="B64" i="17"/>
  <c r="F64" i="17" s="1"/>
  <c r="B63" i="17"/>
  <c r="F63" i="17" s="1"/>
  <c r="B60" i="17"/>
  <c r="F60" i="17" s="1"/>
  <c r="B59" i="17"/>
  <c r="F59" i="17" s="1"/>
  <c r="B58" i="17"/>
  <c r="F58" i="17" s="1"/>
  <c r="B57" i="17"/>
  <c r="F57" i="17" s="1"/>
  <c r="B56" i="17"/>
  <c r="F56" i="17" s="1"/>
  <c r="B55" i="17"/>
  <c r="F55" i="17" s="1"/>
  <c r="B54" i="17"/>
  <c r="F54" i="17" s="1"/>
  <c r="B52" i="17"/>
  <c r="F52" i="17" s="1"/>
  <c r="B51" i="17"/>
  <c r="F51" i="17" s="1"/>
  <c r="F50" i="17"/>
  <c r="B49" i="17"/>
  <c r="F49" i="17" s="1"/>
  <c r="B33" i="17"/>
  <c r="E33" i="17" s="1"/>
  <c r="B32" i="17"/>
  <c r="E32" i="17" s="1"/>
  <c r="B31" i="17"/>
  <c r="E31" i="17" s="1"/>
  <c r="B30" i="17"/>
  <c r="E30" i="17" s="1"/>
  <c r="B29" i="17"/>
  <c r="E29" i="17" s="1"/>
  <c r="B26" i="17"/>
  <c r="E26" i="17" s="1"/>
  <c r="B25" i="17"/>
  <c r="E25" i="17" s="1"/>
  <c r="B24" i="17"/>
  <c r="E24" i="17" s="1"/>
  <c r="B20" i="17"/>
  <c r="E20" i="17" s="1"/>
  <c r="B19" i="17"/>
  <c r="E19" i="17" s="1"/>
  <c r="B18" i="17"/>
  <c r="B17" i="17"/>
  <c r="B17" i="16"/>
  <c r="E17" i="16" s="1"/>
  <c r="B16" i="16"/>
  <c r="E16" i="16" s="1"/>
  <c r="B15" i="16"/>
  <c r="B15" i="14"/>
  <c r="E15" i="14" s="1"/>
  <c r="B14" i="14"/>
  <c r="E14" i="14" s="1"/>
  <c r="B13" i="14"/>
  <c r="E13" i="14" s="1"/>
  <c r="B12" i="14"/>
  <c r="B11" i="14"/>
  <c r="B10" i="14"/>
  <c r="B32" i="12"/>
  <c r="B31" i="12"/>
  <c r="B30" i="12"/>
  <c r="B13" i="12"/>
  <c r="B9" i="17"/>
  <c r="B7" i="17"/>
  <c r="F44" i="17" l="1"/>
  <c r="B42" i="17"/>
  <c r="F42" i="17" s="1"/>
  <c r="D122" i="17"/>
  <c r="B70" i="17"/>
  <c r="E27" i="17"/>
  <c r="E34" i="17"/>
  <c r="D124" i="17" s="1"/>
  <c r="B6" i="17"/>
  <c r="B5" i="17"/>
  <c r="B4" i="17"/>
  <c r="B3" i="17"/>
  <c r="B6" i="12"/>
  <c r="B5" i="12"/>
  <c r="B4" i="12"/>
  <c r="B3" i="12"/>
  <c r="E35" i="17" l="1"/>
  <c r="E36" i="17"/>
  <c r="D123" i="17" l="1"/>
  <c r="F38" i="17"/>
  <c r="C11" i="10" s="1"/>
  <c r="E80" i="22"/>
  <c r="D19" i="10" s="1"/>
  <c r="E12" i="20" l="1"/>
  <c r="E11" i="20"/>
  <c r="E10" i="20" l="1"/>
  <c r="E13" i="20" s="1"/>
  <c r="D24" i="10" s="1"/>
  <c r="E11" i="16"/>
  <c r="F116" i="17"/>
  <c r="F109" i="17"/>
  <c r="F108" i="17"/>
  <c r="F107" i="17"/>
  <c r="F106" i="17"/>
  <c r="F105" i="17"/>
  <c r="F104" i="17"/>
  <c r="F103" i="17"/>
  <c r="F101" i="17"/>
  <c r="F100" i="17"/>
  <c r="F99" i="17"/>
  <c r="F98" i="17"/>
  <c r="F97" i="17"/>
  <c r="F96" i="17"/>
  <c r="F95" i="17"/>
  <c r="F93" i="17"/>
  <c r="F92" i="17"/>
  <c r="F91" i="17"/>
  <c r="F90" i="17"/>
  <c r="F89" i="17"/>
  <c r="F88" i="17"/>
  <c r="F87" i="17"/>
  <c r="F85" i="17"/>
  <c r="F84" i="17"/>
  <c r="F83" i="17"/>
  <c r="F82" i="17"/>
  <c r="F72" i="17"/>
  <c r="F71" i="17"/>
  <c r="F70" i="17"/>
  <c r="F46" i="17"/>
  <c r="F45" i="17"/>
  <c r="E18" i="17"/>
  <c r="E17" i="17"/>
  <c r="D127" i="17" l="1"/>
  <c r="D130" i="17"/>
  <c r="D129" i="17"/>
  <c r="D121" i="17"/>
  <c r="D126" i="17"/>
  <c r="F47" i="17"/>
  <c r="B13" i="10" s="1"/>
  <c r="D125" i="17"/>
  <c r="D128" i="17"/>
  <c r="D117" i="17"/>
  <c r="F79" i="17"/>
  <c r="C16" i="10" s="1"/>
  <c r="F66" i="17"/>
  <c r="B15" i="10" s="1"/>
  <c r="F61" i="17"/>
  <c r="B14" i="10" s="1"/>
  <c r="F21" i="17"/>
  <c r="C10" i="10" s="1"/>
  <c r="F110" i="17"/>
  <c r="C17" i="10" s="1"/>
  <c r="B11" i="17"/>
  <c r="D131" i="17" l="1"/>
  <c r="F67" i="17"/>
  <c r="C12" i="10" s="1"/>
  <c r="F118" i="17" l="1"/>
  <c r="E15" i="16"/>
  <c r="E19" i="16" s="1"/>
  <c r="E14" i="16"/>
  <c r="E13" i="16"/>
  <c r="D9" i="10" l="1"/>
  <c r="B12" i="17"/>
  <c r="E12" i="16"/>
  <c r="E18" i="16" s="1"/>
  <c r="E20" i="16" s="1"/>
  <c r="E21" i="16" l="1"/>
  <c r="D25" i="10" s="1"/>
  <c r="E12" i="14" l="1"/>
  <c r="E11" i="14"/>
  <c r="E10" i="14"/>
  <c r="E16" i="14" l="1"/>
  <c r="D8" i="10" s="1"/>
  <c r="E32" i="12"/>
  <c r="E31" i="12"/>
  <c r="E30" i="12"/>
  <c r="E29" i="12"/>
  <c r="E28" i="12"/>
  <c r="E27" i="12"/>
  <c r="E25" i="12"/>
  <c r="E24" i="12"/>
  <c r="E23" i="12"/>
  <c r="E21" i="12"/>
  <c r="E20" i="12"/>
  <c r="E19" i="12"/>
  <c r="E17" i="12"/>
  <c r="E16" i="12"/>
  <c r="E15" i="12"/>
  <c r="E13" i="12"/>
  <c r="E12" i="12"/>
  <c r="E11" i="12"/>
  <c r="E33" i="12" l="1"/>
  <c r="D7" i="10" s="1"/>
  <c r="D23" i="10" l="1"/>
  <c r="D26" i="10"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tc={7C0CE3F6-1B71-4DCB-AA02-C8C85F80C83D}</author>
  </authors>
  <commentList>
    <comment ref="H14" authorId="0" shapeId="0" xr:uid="{7C0CE3F6-1B71-4DCB-AA02-C8C85F80C83D}">
      <text>
        <t>[Threaded comment]
Your version of Excel allows you to read this threaded comment; however, any edits to it will get removed if the file is opened in a newer version of Excel. Learn more: https://go.microsoft.com/fwlink/?linkid=870924
Comment:
    JP - Do you have the Consultant Report to determine "construction, land acq. and facilites" costs that are hard coded for each section?</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Kristina Owens</author>
    <author>Jenny Alton</author>
  </authors>
  <commentList>
    <comment ref="U42" authorId="0" shapeId="0" xr:uid="{C96AFDAF-38D8-49F8-A672-E90D66DD3A48}">
      <text>
        <r>
          <rPr>
            <b/>
            <sz val="9"/>
            <color indexed="81"/>
            <rFont val="Tahoma"/>
            <family val="2"/>
          </rPr>
          <t>Kristina Owens:</t>
        </r>
        <r>
          <rPr>
            <sz val="9"/>
            <color indexed="81"/>
            <rFont val="Tahoma"/>
            <family val="2"/>
          </rPr>
          <t xml:space="preserve">
PW added new fee for cost recovery while removing prior fees hidden cells based on old methodology
</t>
        </r>
      </text>
    </comment>
    <comment ref="U43" authorId="0" shapeId="0" xr:uid="{4AC73A04-8863-40C0-9322-EBC2FE5FF121}">
      <text>
        <r>
          <rPr>
            <b/>
            <sz val="9"/>
            <color indexed="81"/>
            <rFont val="Tahoma"/>
            <family val="2"/>
          </rPr>
          <t>Kristina Owens:</t>
        </r>
        <r>
          <rPr>
            <sz val="9"/>
            <color indexed="81"/>
            <rFont val="Tahoma"/>
            <family val="2"/>
          </rPr>
          <t xml:space="preserve">
Fees removed by PW FY21/22.  Cost recovery item 
</t>
        </r>
      </text>
    </comment>
    <comment ref="T59" authorId="0" shapeId="0" xr:uid="{634C9121-15F2-4E83-B33B-6DE89881A1A6}">
      <text>
        <r>
          <rPr>
            <b/>
            <sz val="9"/>
            <color indexed="81"/>
            <rFont val="Tahoma"/>
            <family val="2"/>
          </rPr>
          <t>Kristina Owens:</t>
        </r>
        <r>
          <rPr>
            <sz val="9"/>
            <color indexed="81"/>
            <rFont val="Tahoma"/>
            <family val="2"/>
          </rPr>
          <t xml:space="preserve">
Added 9/5/2020
</t>
        </r>
      </text>
    </comment>
    <comment ref="U65" authorId="1" shapeId="0" xr:uid="{D3C08E77-FB7A-4F55-8289-331D6DF05DFF}">
      <text>
        <r>
          <rPr>
            <b/>
            <sz val="9"/>
            <color indexed="81"/>
            <rFont val="Tahoma"/>
            <charset val="1"/>
          </rPr>
          <t>Jenny Alton:</t>
        </r>
        <r>
          <rPr>
            <sz val="9"/>
            <color indexed="81"/>
            <rFont val="Tahoma"/>
            <charset val="1"/>
          </rPr>
          <t xml:space="preserve">
fee transferred from planning to engineering 2022 -July
</t>
        </r>
      </text>
    </comment>
    <comment ref="V77" authorId="0" shapeId="0" xr:uid="{6F6A89FB-EC69-4118-AE50-A47185C235E3}">
      <text>
        <r>
          <rPr>
            <b/>
            <sz val="9"/>
            <color indexed="81"/>
            <rFont val="Tahoma"/>
            <charset val="1"/>
          </rPr>
          <t>Kristina Owens:</t>
        </r>
        <r>
          <rPr>
            <sz val="9"/>
            <color indexed="81"/>
            <rFont val="Tahoma"/>
            <charset val="1"/>
          </rPr>
          <t xml:space="preserve">
new fee added per Engineering 7/2022</t>
        </r>
      </text>
    </comment>
    <comment ref="T86" authorId="0" shapeId="0" xr:uid="{4FD7AB2A-00EC-422D-B970-59D3FEC63BD0}">
      <text>
        <r>
          <rPr>
            <b/>
            <sz val="9"/>
            <color indexed="81"/>
            <rFont val="Tahoma"/>
            <family val="2"/>
          </rPr>
          <t>Kristina Owens:</t>
        </r>
        <r>
          <rPr>
            <sz val="9"/>
            <color indexed="81"/>
            <rFont val="Tahoma"/>
            <family val="2"/>
          </rPr>
          <t xml:space="preserve">
Added 9/2020
</t>
        </r>
      </text>
    </comment>
    <comment ref="T87" authorId="0" shapeId="0" xr:uid="{867AA6AF-E482-48F2-89FB-60D9C2BAD0D9}">
      <text>
        <r>
          <rPr>
            <b/>
            <sz val="9"/>
            <color indexed="81"/>
            <rFont val="Tahoma"/>
            <family val="2"/>
          </rPr>
          <t>Kristina Owens:</t>
        </r>
        <r>
          <rPr>
            <sz val="9"/>
            <color indexed="81"/>
            <rFont val="Tahoma"/>
            <family val="2"/>
          </rPr>
          <t xml:space="preserve">
Added 9/2020
</t>
        </r>
      </text>
    </comment>
    <comment ref="T88" authorId="0" shapeId="0" xr:uid="{53B97B7B-0201-4449-AA7F-071058B35E3F}">
      <text>
        <r>
          <rPr>
            <b/>
            <sz val="9"/>
            <color indexed="81"/>
            <rFont val="Tahoma"/>
            <family val="2"/>
          </rPr>
          <t>Kristina Owens:</t>
        </r>
        <r>
          <rPr>
            <sz val="9"/>
            <color indexed="81"/>
            <rFont val="Tahoma"/>
            <family val="2"/>
          </rPr>
          <t xml:space="preserve">
Added 9/2020
</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<sst xmlns="http://schemas.openxmlformats.org/spreadsheetml/2006/main" count="1725" uniqueCount="846">
  <si>
    <t>Commercial</t>
  </si>
  <si>
    <t>Office</t>
  </si>
  <si>
    <t>Description</t>
  </si>
  <si>
    <t>Quantity</t>
  </si>
  <si>
    <t>Unit Cost</t>
  </si>
  <si>
    <t>Unit</t>
  </si>
  <si>
    <t>dwelling unit</t>
  </si>
  <si>
    <t>Due with this permit</t>
  </si>
  <si>
    <t>TOTAL</t>
  </si>
  <si>
    <t>TOWN OF WINDSOR</t>
  </si>
  <si>
    <t>Public Works</t>
  </si>
  <si>
    <t xml:space="preserve">  1. Meter Installation</t>
  </si>
  <si>
    <t xml:space="preserve">  2. Domestic Connection</t>
  </si>
  <si>
    <t>Parks and Recreation</t>
  </si>
  <si>
    <t>Date:</t>
  </si>
  <si>
    <t>Residential Single Family</t>
  </si>
  <si>
    <t>Residential Multiple Family</t>
  </si>
  <si>
    <t>Residential Mobile Home</t>
  </si>
  <si>
    <t>Industrial</t>
  </si>
  <si>
    <t>Police</t>
  </si>
  <si>
    <t xml:space="preserve">  Drainage Development</t>
  </si>
  <si>
    <t xml:space="preserve">  Traffic Impact</t>
  </si>
  <si>
    <t xml:space="preserve">  Water Capacity</t>
  </si>
  <si>
    <t xml:space="preserve">  Recycled Water</t>
  </si>
  <si>
    <t>Town of Windsor Subtotal</t>
  </si>
  <si>
    <t>Town of Windsor - Other (Initial Building/Grading Permit for Horizontal Site Work) (1)</t>
  </si>
  <si>
    <t>living area SF</t>
  </si>
  <si>
    <t>building area SF</t>
  </si>
  <si>
    <t xml:space="preserve"> </t>
  </si>
  <si>
    <t>Town of Windsor - (Building Permit Fees) (1)</t>
  </si>
  <si>
    <t>Unit Type by Size (SF)</t>
  </si>
  <si>
    <t># Units</t>
  </si>
  <si>
    <t>SF/DU</t>
  </si>
  <si>
    <t>Fee/SF</t>
  </si>
  <si>
    <t>Flat Fee Per Unit</t>
  </si>
  <si>
    <t>Up to 999</t>
  </si>
  <si>
    <t>N/A</t>
  </si>
  <si>
    <t>Total Housing In-Lieu Fees</t>
  </si>
  <si>
    <t>Fire Service Line Size</t>
  </si>
  <si>
    <t>Total ESD</t>
  </si>
  <si>
    <t>Total due with this Building Permit</t>
  </si>
  <si>
    <t>Single Family</t>
  </si>
  <si>
    <t>Residential</t>
  </si>
  <si>
    <t xml:space="preserve">Industrial </t>
  </si>
  <si>
    <t>Single Family Detached</t>
  </si>
  <si>
    <t>Multi-Family</t>
  </si>
  <si>
    <t>Light industrial</t>
  </si>
  <si>
    <t>Heavy Industrial</t>
  </si>
  <si>
    <t>Institutional</t>
  </si>
  <si>
    <t>Transit Core Credit Residential</t>
  </si>
  <si>
    <t>Transit Core Credit Non-Residential</t>
  </si>
  <si>
    <t>Meter and Installation</t>
  </si>
  <si>
    <t>Domestic</t>
  </si>
  <si>
    <t>Irrigation</t>
  </si>
  <si>
    <t>5/8" meter</t>
  </si>
  <si>
    <t>1" meter</t>
  </si>
  <si>
    <t>Domestic Connection (per meter size)</t>
  </si>
  <si>
    <t>per dwelling unit</t>
  </si>
  <si>
    <t>Dedicated Irrigation (per meter size)</t>
  </si>
  <si>
    <t>Meter &amp; Installation</t>
  </si>
  <si>
    <t>FLOW =</t>
  </si>
  <si>
    <t>BOD =</t>
  </si>
  <si>
    <t>TSS =</t>
  </si>
  <si>
    <t>WWCF =</t>
  </si>
  <si>
    <t>ESD</t>
  </si>
  <si>
    <t>1.00 ESD equals 200 gallons per day of estimated water flow for a single family home</t>
  </si>
  <si>
    <t>Accessory Dwelling Unit</t>
  </si>
  <si>
    <t>square foot</t>
  </si>
  <si>
    <t>Commercial-Self Storage</t>
  </si>
  <si>
    <t>1. Developer/Homeowner obtains Certificate of Compliance from Town of Windsor</t>
  </si>
  <si>
    <t>2. Town of Windsor verifies square footage</t>
  </si>
  <si>
    <t>3. Developer/Homeowner brings certificate and payment (see rates below) to WUSD's District office@ 9291 Old Redwood Hwy., #500, Windsor, CA</t>
  </si>
  <si>
    <t>4. The District office will prepare a receipt and record receipt number on form. Payment, certificate copy, and cash receipt to be given to Business Office.</t>
  </si>
  <si>
    <t>Low strength</t>
  </si>
  <si>
    <t>Medium strength</t>
  </si>
  <si>
    <t>High strength</t>
  </si>
  <si>
    <t>Tree #</t>
  </si>
  <si>
    <t>Diameter (In)</t>
  </si>
  <si>
    <t>% Mitigated</t>
  </si>
  <si>
    <t>Notes</t>
  </si>
  <si>
    <t>Mitigation Fees</t>
  </si>
  <si>
    <t>In-Lieu Replacement Fees</t>
  </si>
  <si>
    <t>2" tree</t>
  </si>
  <si>
    <t>3" tree</t>
  </si>
  <si>
    <t>4" tree</t>
  </si>
  <si>
    <t>Subject to change pending confirmation of on-site tree replacement mitigation.</t>
  </si>
  <si>
    <t>Notes/Instructions</t>
  </si>
  <si>
    <t>Subdivision (Y/N)</t>
  </si>
  <si>
    <t>Site Address</t>
  </si>
  <si>
    <t>Project Name:</t>
  </si>
  <si>
    <t>Site Address:</t>
  </si>
  <si>
    <t>Assessor's Parcel Number(s):</t>
  </si>
  <si>
    <t>File No.:</t>
  </si>
  <si>
    <t>TREE MITIGATION IN-LIEU FEES</t>
  </si>
  <si>
    <t>Subdivision Lot No.</t>
  </si>
  <si>
    <t>Backflow Device Required (Y/N)</t>
  </si>
  <si>
    <t>Verified by:</t>
  </si>
  <si>
    <t>Verified By:</t>
  </si>
  <si>
    <t>Unit or SF</t>
  </si>
  <si>
    <t>APN(s)</t>
  </si>
  <si>
    <t>Building Permit No.</t>
  </si>
  <si>
    <t>Planning File No.</t>
  </si>
  <si>
    <t>Maximum 1,200-square foot unit on 4,000-square lot or smaller</t>
  </si>
  <si>
    <t>Small Single Family Residential Units</t>
  </si>
  <si>
    <t>3/4" meter</t>
  </si>
  <si>
    <t>Mixed Use Project (Y/N)</t>
  </si>
  <si>
    <t>Transit Core (Y/N)</t>
  </si>
  <si>
    <t xml:space="preserve">Applicant shall provide and install all meters 2" and larger.   </t>
  </si>
  <si>
    <t>Accessory Dwelling Unit (ADU)</t>
  </si>
  <si>
    <t>Commercial with Drive-Through</t>
  </si>
  <si>
    <t>ADUs shall not have separate sewer connections or water service</t>
  </si>
  <si>
    <t>Multi-Family Residential Units</t>
  </si>
  <si>
    <t>Multi-Family Residential</t>
  </si>
  <si>
    <t>1½" meter</t>
  </si>
  <si>
    <t xml:space="preserve">Accessory Dwelling Unit (ADU) </t>
  </si>
  <si>
    <t>Biochemical Oxygen Demand (BOD) (mg/l)</t>
  </si>
  <si>
    <t>Total Suspended Solids (TSS) (mg/l)</t>
  </si>
  <si>
    <t>Discharge measurement</t>
  </si>
  <si>
    <t>Wastewater Flow (gallons/day)</t>
  </si>
  <si>
    <t>Large Residential ADU (750 SF or greater) (1)</t>
  </si>
  <si>
    <t>Accessory Dwelling Units (ADUs) (# Units)</t>
  </si>
  <si>
    <t xml:space="preserve">Residential Single Family </t>
  </si>
  <si>
    <t>Within 1/2-mile of SMART station</t>
  </si>
  <si>
    <t xml:space="preserve"> Mixed Use Credit:  Residential OR Non-Residential</t>
  </si>
  <si>
    <t>Project or Subdivision Name:</t>
  </si>
  <si>
    <t>Project or Subdivision Name</t>
  </si>
  <si>
    <t>5/8"meters allowed for meter replacement only with Public Works approval</t>
  </si>
  <si>
    <t>3/4"meters allowed for meter replacement only with Public Works approval</t>
  </si>
  <si>
    <t xml:space="preserve">Small Single Family Residential  1" </t>
  </si>
  <si>
    <t>Standard Single Family Residential 1" Meter</t>
  </si>
  <si>
    <t>Non-Residential    1" Meter</t>
  </si>
  <si>
    <t>Non-Residential    1½" Meter</t>
  </si>
  <si>
    <t>Non-Residential     3" Meter</t>
  </si>
  <si>
    <t>Non-Residential     2" Meter</t>
  </si>
  <si>
    <t>Non-Residential     4" Meter</t>
  </si>
  <si>
    <t>Non-Residential     6" Meter</t>
  </si>
  <si>
    <t>Non-Residential     8" Meter</t>
  </si>
  <si>
    <t>Non-Residential Recycled Water   1" Meter</t>
  </si>
  <si>
    <t>Non-Residential Recycled Water    1½" Meter</t>
  </si>
  <si>
    <t>Non-Residential Recycled Water   2" Meter</t>
  </si>
  <si>
    <t>Non-Residential Recycled Water   3" Meter</t>
  </si>
  <si>
    <t xml:space="preserve">Standard Single Family Residential </t>
  </si>
  <si>
    <t>WWCF = Calculated Wastewater Capacity Fee = ($/ESD) x Flow/200 x [0.83 + (0.12 x BOD/200) + (0.05 x TSS/175)]</t>
  </si>
  <si>
    <t>TSS = Total Suspended Solids (Discharge in mg/l)</t>
  </si>
  <si>
    <t>BOD = Biochemical Oxygen Demand (Discharge in mg/l)</t>
  </si>
  <si>
    <t>Flow = Wastewater Flow (Gallons per day)</t>
  </si>
  <si>
    <t>80% Non-Residential Meter Fees</t>
  </si>
  <si>
    <t>Windsor Unified School District: Bonnie Peirsol bpeirsol@wusd.org or (707) 837-7708</t>
  </si>
  <si>
    <t>Sonoma County Fire District: Cyndi Foreman cforeman@sonomacountyfd.org or (707) 892-2003</t>
  </si>
  <si>
    <t>Miscellanous</t>
  </si>
  <si>
    <t>1" Non-Residential Water Meter</t>
  </si>
  <si>
    <t>1½" Non-Residential Water Meter</t>
  </si>
  <si>
    <t>2" Non-Residential Water Meter</t>
  </si>
  <si>
    <t>3" Non-Residential Water Meter</t>
  </si>
  <si>
    <t>4" Non-Residential Water Meter</t>
  </si>
  <si>
    <t>6" Non-Residential Water Meter</t>
  </si>
  <si>
    <t>8" Non-Residential Water Meter</t>
  </si>
  <si>
    <t>1" Meter</t>
  </si>
  <si>
    <t>1½“ Meter</t>
  </si>
  <si>
    <t>2" Meter</t>
  </si>
  <si>
    <t>5/8" Meter</t>
  </si>
  <si>
    <t>3/4" Meter</t>
  </si>
  <si>
    <t>per 1,000 SF</t>
  </si>
  <si>
    <t>Non Residential (1" Meter = 1 ESD)</t>
  </si>
  <si>
    <t>IMPACT FEE CALCULATIONS</t>
  </si>
  <si>
    <t>Applicant shall provide and install all meters 2" and larger.Town will supply and install ERT at cost plus installation.</t>
  </si>
  <si>
    <t xml:space="preserve">PARKS AND RECREATION  </t>
  </si>
  <si>
    <t>PUBLIC WORKS</t>
  </si>
  <si>
    <t xml:space="preserve">POLICE  </t>
  </si>
  <si>
    <t>DEVELOPMENT IMPACT FEE CALCULATIONS</t>
  </si>
  <si>
    <t xml:space="preserve"> DEVELOPMENT IMPACT FEE CALCULATIONS</t>
  </si>
  <si>
    <t xml:space="preserve"> SUMMARY ESTIMATE</t>
  </si>
  <si>
    <t>TOWN OF WINDSOR DEVELOPMENT IMPACT FEE</t>
  </si>
  <si>
    <t xml:space="preserve">TOWN OF WINDSOR </t>
  </si>
  <si>
    <t xml:space="preserve">DEVELOPMENT IMPACT FEE CALCULATION DATA SHEET </t>
  </si>
  <si>
    <t>PROJECT DATA</t>
  </si>
  <si>
    <t>Mixed Use  (Y/N)</t>
  </si>
  <si>
    <t>WINDSOR UNIFIED SCHOOL DISTRICT</t>
  </si>
  <si>
    <t>SONOMA COUNTY FIRE DISTRICT</t>
  </si>
  <si>
    <t>TOTAL PUBLIC WORKS IMPACT FEES</t>
  </si>
  <si>
    <t>Total Water Capacity Fees</t>
  </si>
  <si>
    <t>Irrigation Subtotal</t>
  </si>
  <si>
    <t>Connection Subtotal</t>
  </si>
  <si>
    <t>Total Traffic Fees</t>
  </si>
  <si>
    <t>Total Drainage Fees</t>
  </si>
  <si>
    <t>Total Recycle Water Fees</t>
  </si>
  <si>
    <t xml:space="preserve">TOTAL PARKS AND RECREATION IMPACT FEES </t>
  </si>
  <si>
    <t>TOTAL POLICE IMPACT FEES</t>
  </si>
  <si>
    <t xml:space="preserve">TOTAL SONOMA COUNTY FIRE DISTRICT IMPACT FEES </t>
  </si>
  <si>
    <t xml:space="preserve">TOTAL WINDSOR UNIFIED SCHOOL DISTRICT IMPACT FEES </t>
  </si>
  <si>
    <t>Total due with this Building Permit:</t>
  </si>
  <si>
    <t>Prepared By:</t>
  </si>
  <si>
    <t>the initial Bldg Permit was:</t>
  </si>
  <si>
    <t>If Tenant Improvement permit,</t>
  </si>
  <si>
    <t>Lot No:</t>
  </si>
  <si>
    <t>Subdivision:</t>
  </si>
  <si>
    <t>APN:</t>
  </si>
  <si>
    <t xml:space="preserve">HOUSING IN-LIEU FEES </t>
  </si>
  <si>
    <t>Due With This Permit</t>
  </si>
  <si>
    <t>241-00-00-0000-3655-000</t>
  </si>
  <si>
    <t>220-74-00-0000-3655-388</t>
  </si>
  <si>
    <t>221-76-00-0000-3655-000</t>
  </si>
  <si>
    <t>222-74-00-0000-3655-000</t>
  </si>
  <si>
    <t>223-74-00-0000-3655-000</t>
  </si>
  <si>
    <t>190-40-00-0000-3655-600</t>
  </si>
  <si>
    <t>190-40-00-0000-3655-601</t>
  </si>
  <si>
    <t>235-50-00-0000-3655-000</t>
  </si>
  <si>
    <t>230-63-00-0000-3655-600</t>
  </si>
  <si>
    <t>230-63-00-0000-3655-601</t>
  </si>
  <si>
    <t>210-63-00-0000-3655-600</t>
  </si>
  <si>
    <t>210-63-00-0000-3655-601</t>
  </si>
  <si>
    <t>Master Fee Schedule</t>
  </si>
  <si>
    <t>Actual Cost from Distributor</t>
  </si>
  <si>
    <t>440-00-00-0000-3687-000</t>
  </si>
  <si>
    <t>460-00-00-0000-3660-600</t>
  </si>
  <si>
    <t>440-00-00-0000-3387-000</t>
  </si>
  <si>
    <t>per meter</t>
  </si>
  <si>
    <t>430-00-00-0000-3660-600</t>
  </si>
  <si>
    <t>430-00-00-0000-3660-601</t>
  </si>
  <si>
    <t xml:space="preserve">Summary of GL Codes </t>
  </si>
  <si>
    <t>Total Impact Fees</t>
  </si>
  <si>
    <t>5. Town Attorney Cost Recovery Program for planning and engineering applications and permits.</t>
  </si>
  <si>
    <t>4. Includes utility installation and any curb, gutter, and sidewalk encroachment.</t>
  </si>
  <si>
    <t>3. Current fees vary based on detailed categories.  Averages shown here.  Fee could be based on actual time and materials costs at discretion of Town Engineer.</t>
  </si>
  <si>
    <t>2. A payment towards the total due is collected at the time of submittal and the remainder is due before plan approval.  The amount of the initial payment will be determined by staff.</t>
  </si>
  <si>
    <t>1. Fee based on value of improvements.  Fee could be based on actual time and materials costs at discretion of Town Engineer.</t>
  </si>
  <si>
    <t>Total</t>
  </si>
  <si>
    <t>Other:</t>
  </si>
  <si>
    <t>640-1440-500</t>
  </si>
  <si>
    <t>Cash Security</t>
  </si>
  <si>
    <t>Developer's Deposit Account (subcode unique per project)</t>
  </si>
  <si>
    <t>010-1430-432</t>
  </si>
  <si>
    <t>Development Review Services</t>
  </si>
  <si>
    <t>010-00-00-0000-3615-000</t>
  </si>
  <si>
    <t>Special Printing
   Base Maps
   Large Document Copy</t>
  </si>
  <si>
    <t>010-63-00-0000-3243-000</t>
  </si>
  <si>
    <t>Development Impact Fee Refund (project withdrawn)
   Residential
   Non-residential</t>
  </si>
  <si>
    <t>010-63-00-0000-3242-000</t>
  </si>
  <si>
    <t>$16
$90</t>
  </si>
  <si>
    <t>Transportation Permits
   Daily
   Annual</t>
  </si>
  <si>
    <t>010-63-00-0000-3241-000</t>
  </si>
  <si>
    <t>010-63-00-0000-3243-001</t>
  </si>
  <si>
    <t>Map Check
   Base Fee
   Additional per Lot</t>
  </si>
  <si>
    <t xml:space="preserve">   Amount Due</t>
  </si>
  <si>
    <t>Account Code</t>
  </si>
  <si>
    <t>Fees</t>
  </si>
  <si>
    <t>Service</t>
  </si>
  <si>
    <t>Planning No.</t>
  </si>
  <si>
    <t>By:</t>
  </si>
  <si>
    <t>Receipt:</t>
  </si>
  <si>
    <t>Project:</t>
  </si>
  <si>
    <t xml:space="preserve">Recycled Water Capacity Fee (New Users Only) </t>
  </si>
  <si>
    <t xml:space="preserve">Drainage Developoment </t>
  </si>
  <si>
    <t>3558-19 (eff 1/19/20)</t>
  </si>
  <si>
    <t xml:space="preserve">Traffic Impact Development </t>
  </si>
  <si>
    <t>3590-20 (eff 6/15/20)</t>
  </si>
  <si>
    <t xml:space="preserve">Water Capacity </t>
  </si>
  <si>
    <t>1566-03 (eff 12/3/03)</t>
  </si>
  <si>
    <t>2764-11 (eff 3/20/11)</t>
  </si>
  <si>
    <t>1864-17 (eff 4/16/17)</t>
  </si>
  <si>
    <t xml:space="preserve">Recycle Water </t>
  </si>
  <si>
    <t>1738-05 (eff 5/2/05)</t>
  </si>
  <si>
    <t xml:space="preserve">Water Reclamation </t>
  </si>
  <si>
    <t>3045-13 (eff 1/18/14)</t>
  </si>
  <si>
    <t>3087-14 (eff 5/12/14)</t>
  </si>
  <si>
    <t>1865-17 (eff 4/16/17)</t>
  </si>
  <si>
    <t xml:space="preserve">Park Development </t>
  </si>
  <si>
    <t>2673-10 (eff 6/21/10)</t>
  </si>
  <si>
    <t>3339-17 (eff 5/1/17)</t>
  </si>
  <si>
    <t>Recreation Development</t>
  </si>
  <si>
    <t>3340-17 (eff 5/1/17)</t>
  </si>
  <si>
    <t>New Trails Development</t>
  </si>
  <si>
    <t>3342-17 (eff 5/1/17)</t>
  </si>
  <si>
    <t>Open Space Development</t>
  </si>
  <si>
    <t>3341-17 (eff 5/1/17)</t>
  </si>
  <si>
    <t>Public Facilities Development</t>
  </si>
  <si>
    <t>2674-10 (eff 6/21/10)</t>
  </si>
  <si>
    <t>3343-17 (eff 5/1/17)</t>
  </si>
  <si>
    <t>RESOLUTION HISTORY</t>
  </si>
  <si>
    <t xml:space="preserve">2675-10 </t>
  </si>
  <si>
    <t>3347-17</t>
  </si>
  <si>
    <t>3696-21 (eff 11/1/21)</t>
  </si>
  <si>
    <t>Sonoma County Fire District</t>
  </si>
  <si>
    <t>Windsor Fire Protection District</t>
  </si>
  <si>
    <t>Retail / Commercial</t>
  </si>
  <si>
    <t>per residence</t>
  </si>
  <si>
    <r>
      <rPr>
        <b/>
        <sz val="12"/>
        <rFont val="Calibri"/>
        <family val="2"/>
        <scheme val="minor"/>
      </rPr>
      <t>Drainage Development</t>
    </r>
    <r>
      <rPr>
        <sz val="12"/>
        <rFont val="Calibri"/>
        <family val="2"/>
        <scheme val="minor"/>
      </rPr>
      <t xml:space="preserve">     </t>
    </r>
  </si>
  <si>
    <r>
      <rPr>
        <b/>
        <sz val="12"/>
        <rFont val="Calibri"/>
        <family val="2"/>
        <scheme val="minor"/>
      </rPr>
      <t>Traffic Impact Development</t>
    </r>
    <r>
      <rPr>
        <sz val="12"/>
        <rFont val="Calibri"/>
        <family val="2"/>
        <scheme val="minor"/>
      </rPr>
      <t xml:space="preserve">   </t>
    </r>
  </si>
  <si>
    <r>
      <rPr>
        <b/>
        <sz val="12"/>
        <rFont val="Calibri"/>
        <family val="2"/>
        <scheme val="minor"/>
      </rPr>
      <t>Water Capacity</t>
    </r>
    <r>
      <rPr>
        <sz val="12"/>
        <rFont val="Calibri"/>
        <family val="2"/>
        <scheme val="minor"/>
      </rPr>
      <t xml:space="preserve">     </t>
    </r>
  </si>
  <si>
    <r>
      <t>460-00-00-0000-3660-</t>
    </r>
    <r>
      <rPr>
        <b/>
        <sz val="12"/>
        <color rgb="FFFF0000"/>
        <rFont val="Calibri"/>
        <family val="2"/>
        <scheme val="minor"/>
      </rPr>
      <t>xxx</t>
    </r>
  </si>
  <si>
    <r>
      <rPr>
        <b/>
        <sz val="12"/>
        <rFont val="Calibri"/>
        <family val="2"/>
        <scheme val="minor"/>
      </rPr>
      <t>Recycled Water</t>
    </r>
    <r>
      <rPr>
        <sz val="12"/>
        <rFont val="Calibri"/>
        <family val="2"/>
        <scheme val="minor"/>
      </rPr>
      <t xml:space="preserve">     </t>
    </r>
  </si>
  <si>
    <r>
      <rPr>
        <b/>
        <u/>
        <sz val="12"/>
        <color theme="1"/>
        <rFont val="Calibri"/>
        <family val="2"/>
        <scheme val="minor"/>
      </rPr>
      <t>Non-Standard Developments</t>
    </r>
    <r>
      <rPr>
        <b/>
        <sz val="12"/>
        <color theme="1"/>
        <rFont val="Calibri"/>
        <family val="2"/>
        <scheme val="minor"/>
      </rPr>
      <t xml:space="preserve"> </t>
    </r>
  </si>
  <si>
    <r>
      <rPr>
        <b/>
        <sz val="12"/>
        <rFont val="Calibri"/>
        <family val="2"/>
        <scheme val="minor"/>
      </rPr>
      <t>Park Development</t>
    </r>
    <r>
      <rPr>
        <sz val="12"/>
        <rFont val="Calibri"/>
        <family val="2"/>
        <scheme val="minor"/>
      </rPr>
      <t xml:space="preserve">     </t>
    </r>
  </si>
  <si>
    <r>
      <rPr>
        <b/>
        <sz val="12"/>
        <rFont val="Calibri"/>
        <family val="2"/>
        <scheme val="minor"/>
      </rPr>
      <t>Recreation Development</t>
    </r>
    <r>
      <rPr>
        <sz val="12"/>
        <rFont val="Calibri"/>
        <family val="2"/>
        <scheme val="minor"/>
      </rPr>
      <t xml:space="preserve">    </t>
    </r>
  </si>
  <si>
    <r>
      <rPr>
        <b/>
        <sz val="12"/>
        <rFont val="Calibri"/>
        <family val="2"/>
        <scheme val="minor"/>
      </rPr>
      <t>New Trails Development</t>
    </r>
    <r>
      <rPr>
        <sz val="12"/>
        <rFont val="Calibri"/>
        <family val="2"/>
        <scheme val="minor"/>
      </rPr>
      <t xml:space="preserve">    </t>
    </r>
  </si>
  <si>
    <r>
      <rPr>
        <b/>
        <sz val="12"/>
        <rFont val="Calibri"/>
        <family val="2"/>
        <scheme val="minor"/>
      </rPr>
      <t>Open Space Development</t>
    </r>
    <r>
      <rPr>
        <sz val="12"/>
        <rFont val="Calibri"/>
        <family val="2"/>
        <scheme val="minor"/>
      </rPr>
      <t xml:space="preserve">     </t>
    </r>
  </si>
  <si>
    <r>
      <rPr>
        <b/>
        <sz val="12"/>
        <rFont val="Calibri"/>
        <family val="2"/>
        <scheme val="minor"/>
      </rPr>
      <t>Public Facilities Development</t>
    </r>
    <r>
      <rPr>
        <sz val="12"/>
        <rFont val="Calibri"/>
        <family val="2"/>
        <scheme val="minor"/>
      </rPr>
      <t xml:space="preserve">    </t>
    </r>
  </si>
  <si>
    <r>
      <rPr>
        <b/>
        <sz val="8"/>
        <color theme="1"/>
        <rFont val="Calibri"/>
        <family val="2"/>
        <scheme val="minor"/>
      </rPr>
      <t>Town of Windsor    
Engineering Division</t>
    </r>
    <r>
      <rPr>
        <sz val="8"/>
        <color theme="1"/>
        <rFont val="Calibri"/>
        <family val="2"/>
        <scheme val="minor"/>
      </rPr>
      <t xml:space="preserve">
8400 Windsor Road, Bldg 100
P.O. Box 100
Windsor, CA 95492-0100 
(707) 838-5340 Fax (707) 838-5300</t>
    </r>
    <r>
      <rPr>
        <sz val="10"/>
        <rFont val="Calibri"/>
        <family val="2"/>
        <scheme val="minor"/>
      </rPr>
      <t xml:space="preserve">
</t>
    </r>
  </si>
  <si>
    <t>Dedicated Irrigation Meters (#)</t>
  </si>
  <si>
    <t>Recycled Water Capacity Fee - New Users Only (#)</t>
  </si>
  <si>
    <t>Water Capacity - Water Meters (#)</t>
  </si>
  <si>
    <t>Non-Residential Water Connections (#)</t>
  </si>
  <si>
    <t>Residential Units (#) and (SF)</t>
  </si>
  <si>
    <t>Excluding garages, carports, walkways, overhangs, enclosed patios, detached storage structures, and similar</t>
  </si>
  <si>
    <t xml:space="preserve">      (2) Fees for the following outside agencies are provided as a courtesy only and should be verified: </t>
  </si>
  <si>
    <t>Windsor Unified School District (2)</t>
  </si>
  <si>
    <t>Sonoma County Fire District (2)</t>
  </si>
  <si>
    <r>
      <t xml:space="preserve">Town of Windsor - Housing In-Lieu Fees </t>
    </r>
    <r>
      <rPr>
        <i/>
        <sz val="12"/>
        <rFont val="Calibri"/>
        <family val="2"/>
        <scheme val="minor"/>
      </rPr>
      <t>(confirm with Planning Division)</t>
    </r>
  </si>
  <si>
    <r>
      <t xml:space="preserve">Town of Windsor - Other Fees </t>
    </r>
    <r>
      <rPr>
        <i/>
        <sz val="12"/>
        <rFont val="Calibri"/>
        <family val="2"/>
        <scheme val="minor"/>
      </rPr>
      <t>(confirm with Planning Division)</t>
    </r>
  </si>
  <si>
    <r>
      <t xml:space="preserve">Town of Windsor - Tree Mitigation In-Lieu Fees </t>
    </r>
    <r>
      <rPr>
        <i/>
        <sz val="12"/>
        <rFont val="Calibri"/>
        <family val="2"/>
        <scheme val="minor"/>
      </rPr>
      <t>(confirm with Planning Division)</t>
    </r>
  </si>
  <si>
    <t>A backflow device is required when an existing well will be used for irrigation purposes in a residential project or if the project is non-residential.</t>
  </si>
  <si>
    <t>The minimum meter size for a new single family residential unit is 1". Check with Building Division regarding new sprinkler requirements. Domestic service refers to potable water.</t>
  </si>
  <si>
    <t>Residential fees include the meter(s) and meter installation only.  Non-residential fees include the meter(s), meter installation, and 80% of the water capacity fee based on meter size.</t>
  </si>
  <si>
    <t>Manufactured/Mobile Homes (# Units)</t>
  </si>
  <si>
    <t>Large ADUs are those that are 750 square feet or greater</t>
  </si>
  <si>
    <t>Notes:</t>
  </si>
  <si>
    <t>i. The applicable amount per residential unit, as calculated above.</t>
  </si>
  <si>
    <t>ii.  The applicable amount per 1,000 square feet of commercial space, as calculated above.</t>
  </si>
  <si>
    <t>iii. The total fee for the mixed-use development shall be decreased by 15% of the lower amount calculated in 3(i) and 3(ii), above.</t>
  </si>
  <si>
    <t>Recycled Water Meters (#)</t>
  </si>
  <si>
    <t>Mixed Use Credit (3)</t>
  </si>
  <si>
    <t>(2) A fee shall be charged and paid for each non-residential development involving any addition to any existing building or structure if the addition exceeds 1,000 square feet and if it increases the existing building or structure by twenty-five (25%) or more upon issuance of the building permit for such non-residential development. The non-rsidential fee shall be charged for "covered and enclosed space" within the perimeter of a non-residential structure.  Garages, parking structgure, unenclosed walkways, utility or disposal areas, and storage areas incidental to the principal use of the development are excluded.</t>
  </si>
  <si>
    <t>Commercial (2)</t>
  </si>
  <si>
    <t>Office (2)</t>
  </si>
  <si>
    <t>Industrial (2)</t>
  </si>
  <si>
    <t>Residential Total Fees</t>
  </si>
  <si>
    <t>Non-Residential Total Fees</t>
  </si>
  <si>
    <t>(1) Pursuant to Govt Code 65852.2f.3.A, development impact fees for a new ADU must be imposed proportionately in relation to the SF of the primary dwelling unit. ADUs with less than 750 SF of living area are exempt.</t>
  </si>
  <si>
    <t>Commercial (Total SF)</t>
  </si>
  <si>
    <t>Commercial and Industrial (SF)</t>
  </si>
  <si>
    <t>Commercial - Drive-Through (SF)</t>
  </si>
  <si>
    <t>Commercial - Self Storage (SF)</t>
  </si>
  <si>
    <t>Office (SF)</t>
  </si>
  <si>
    <t>Light Industrial (SF)</t>
  </si>
  <si>
    <t>Heavy Industrial (SF)</t>
  </si>
  <si>
    <t>Institutional (SF)</t>
  </si>
  <si>
    <t>Installation Fee for Total Meters Installed</t>
  </si>
  <si>
    <t xml:space="preserve">  Water Reclamation/Calculated Wastewater Capacity Fee</t>
  </si>
  <si>
    <t>Wastewater Capacity Information for Non-Standard Development Projects*</t>
  </si>
  <si>
    <t>*Non-standard developments may include, but are not limited to, food processing, beverage manufacturing, wine production, and breweries.</t>
  </si>
  <si>
    <t>Installation Subtotal</t>
  </si>
  <si>
    <t>Residential Subtotal</t>
  </si>
  <si>
    <t>Commercial Subtotal</t>
  </si>
  <si>
    <t>Select Drop Down (cell E127)</t>
  </si>
  <si>
    <t xml:space="preserve">  3. Irrigation Connection </t>
  </si>
  <si>
    <t>Water Reclamation (Sewer) - Non-Residential Meters (#)</t>
  </si>
  <si>
    <t>1½" Meter</t>
  </si>
  <si>
    <t>Low Strength - 1" Meter</t>
  </si>
  <si>
    <t>Low Strength - 1½" Meter</t>
  </si>
  <si>
    <t>Low Strength - 2" Meter</t>
  </si>
  <si>
    <t>Low Strength - 3" Meter</t>
  </si>
  <si>
    <t>Low Strength - 4" Meter</t>
  </si>
  <si>
    <t>Low Strength - 6" Meter</t>
  </si>
  <si>
    <t>Low Strength - 8" Meter</t>
  </si>
  <si>
    <t>Medium Strength - 1" Meter</t>
  </si>
  <si>
    <t>Medium Strength - 1½" Meter</t>
  </si>
  <si>
    <t>Medium Strength - 2" Meter</t>
  </si>
  <si>
    <t>Medium Strength - 3" Meter</t>
  </si>
  <si>
    <t>Medium Strength - 4" Meter</t>
  </si>
  <si>
    <t>Medium Strength - 6" Meter</t>
  </si>
  <si>
    <t>Medium Strength - 8" Meter</t>
  </si>
  <si>
    <t>High Strength - 1" Meter</t>
  </si>
  <si>
    <t>High Strength - 1½" Meter</t>
  </si>
  <si>
    <t>High Strength - 2" Meter</t>
  </si>
  <si>
    <t>High Strength - 3" Meter</t>
  </si>
  <si>
    <t>High Strength - 4" Meter</t>
  </si>
  <si>
    <t>High Strength - 6" Meter</t>
  </si>
  <si>
    <t>High Strength - 8" Meter</t>
  </si>
  <si>
    <r>
      <rPr>
        <b/>
        <sz val="12"/>
        <rFont val="Calibri"/>
        <family val="2"/>
        <scheme val="minor"/>
      </rPr>
      <t>Water Reclamation</t>
    </r>
    <r>
      <rPr>
        <sz val="12"/>
        <rFont val="Calibri"/>
        <family val="2"/>
        <scheme val="minor"/>
      </rPr>
      <t xml:space="preserve"> </t>
    </r>
    <r>
      <rPr>
        <b/>
        <sz val="12"/>
        <rFont val="Calibri"/>
        <family val="2"/>
        <scheme val="minor"/>
      </rPr>
      <t>(Sewer)</t>
    </r>
  </si>
  <si>
    <t>Total Water Reclamation (Sewer) Fees</t>
  </si>
  <si>
    <t xml:space="preserve">Need to determine if: </t>
  </si>
  <si>
    <t>460-00-00-0000-3660-601 (Commercial)</t>
  </si>
  <si>
    <t>460-00-00-0000-3660-605 (Airport)</t>
  </si>
  <si>
    <t>460-00-00-0000-3660-606 (Shiloh Ranch/Mayacama)</t>
  </si>
  <si>
    <t>Applicant shall provide and install all meters 2" and larger.Town will supply and install ERT at cost plus installation</t>
  </si>
  <si>
    <t>-</t>
  </si>
  <si>
    <t>Total Single Family Living Space (SF)</t>
  </si>
  <si>
    <t>Total Multi-Family Living Space (SF)</t>
  </si>
  <si>
    <t>Total Manufactured/Mobile Homes Living Space (SF)</t>
  </si>
  <si>
    <t xml:space="preserve">Single Family Dwelling (Total # Units) </t>
  </si>
  <si>
    <t>Large ADUs (SF)</t>
  </si>
  <si>
    <t>Small Single Family Residential  (# Units)</t>
  </si>
  <si>
    <t>Multi-Family (# Units)</t>
  </si>
  <si>
    <t xml:space="preserve">Manufactured/Mobile Homes </t>
  </si>
  <si>
    <t xml:space="preserve">Single Family Dwelling </t>
  </si>
  <si>
    <t xml:space="preserve">Multi-Family </t>
  </si>
  <si>
    <t>Includes Single Family Dwelling units and Small Single Family Residential units for total number of units</t>
  </si>
  <si>
    <t>Standard Single Family Residential (# Units)</t>
  </si>
  <si>
    <t>DEPARTMENT NOTES</t>
  </si>
  <si>
    <t xml:space="preserve">Includes duplex, triplex, fourplex, townhome, apartment, condominium, and live/work units. Water connection fees included in per unit fee. </t>
  </si>
  <si>
    <t xml:space="preserve">Commercial and Industrial projects only, not applicable to Multi-Family. </t>
  </si>
  <si>
    <t>(3) The amount of the fee for mixed-use development shall be the sum of the following, as applicable:</t>
  </si>
  <si>
    <t>Cells 59 - 108 Hidden.  Option to unhide to add additional trees</t>
  </si>
  <si>
    <t>Total costs are hardcoded to the summary page, no need to update formula</t>
  </si>
  <si>
    <t>Verified By</t>
  </si>
  <si>
    <t>Valley Oak; Fair Health</t>
  </si>
  <si>
    <t>Chinese Elm - not protected</t>
  </si>
  <si>
    <t>Pin Oak - not protected</t>
  </si>
  <si>
    <t>Catalpa - not protected</t>
  </si>
  <si>
    <t>Redwood - not protected</t>
  </si>
  <si>
    <t>Monterey Pine - not protected</t>
  </si>
  <si>
    <t>Liquidambar - not protected</t>
  </si>
  <si>
    <r>
      <t>Plan Check and Inspection</t>
    </r>
    <r>
      <rPr>
        <vertAlign val="superscript"/>
        <sz val="12"/>
        <color theme="1"/>
        <rFont val="Calibri"/>
        <family val="2"/>
        <scheme val="minor"/>
      </rPr>
      <t>1,2</t>
    </r>
    <r>
      <rPr>
        <sz val="12"/>
        <color theme="1"/>
        <rFont val="Calibri"/>
        <family val="2"/>
        <scheme val="minor"/>
      </rPr>
      <t xml:space="preserve"> (Includes up to 4 plan checks)
Additional Plan Check
Revision to Plan During Construction
Inspection</t>
    </r>
  </si>
  <si>
    <r>
      <t xml:space="preserve">Abandonment of Public ROW/Easement
   Consultant Report
  </t>
    </r>
    <r>
      <rPr>
        <b/>
        <u/>
        <sz val="12"/>
        <color theme="1"/>
        <rFont val="Calibri"/>
        <family val="2"/>
        <scheme val="minor"/>
      </rPr>
      <t xml:space="preserve"> Plus</t>
    </r>
    <r>
      <rPr>
        <sz val="12"/>
        <color theme="1"/>
        <rFont val="Calibri"/>
        <family val="2"/>
        <scheme val="minor"/>
      </rPr>
      <t xml:space="preserve">  Administration</t>
    </r>
  </si>
  <si>
    <r>
      <t xml:space="preserve">Traffic Impact Study
   Amendment
   </t>
    </r>
    <r>
      <rPr>
        <b/>
        <u/>
        <sz val="12"/>
        <color theme="1"/>
        <rFont val="Calibri"/>
        <family val="2"/>
        <scheme val="minor"/>
      </rPr>
      <t>Plus</t>
    </r>
    <r>
      <rPr>
        <sz val="12"/>
        <color theme="1"/>
        <rFont val="Calibri"/>
        <family val="2"/>
        <scheme val="minor"/>
      </rPr>
      <t xml:space="preserve"> Administration</t>
    </r>
  </si>
  <si>
    <r>
      <t xml:space="preserve">Deeds
   Document
   </t>
    </r>
    <r>
      <rPr>
        <b/>
        <u/>
        <sz val="12"/>
        <color theme="1"/>
        <rFont val="Calibri"/>
        <family val="2"/>
        <scheme val="minor"/>
      </rPr>
      <t>Plus</t>
    </r>
    <r>
      <rPr>
        <sz val="12"/>
        <color theme="1"/>
        <rFont val="Calibri"/>
        <family val="2"/>
        <scheme val="minor"/>
      </rPr>
      <t xml:space="preserve"> Administration</t>
    </r>
  </si>
  <si>
    <r>
      <t xml:space="preserve">Lot Line Adjustment (including lot merger)
   Document
  </t>
    </r>
    <r>
      <rPr>
        <b/>
        <u/>
        <sz val="12"/>
        <color theme="1"/>
        <rFont val="Calibri"/>
        <family val="2"/>
        <scheme val="minor"/>
      </rPr>
      <t>Plus</t>
    </r>
    <r>
      <rPr>
        <sz val="12"/>
        <color theme="1"/>
        <rFont val="Calibri"/>
        <family val="2"/>
        <scheme val="minor"/>
      </rPr>
      <t xml:space="preserve"> Administration</t>
    </r>
  </si>
  <si>
    <r>
      <t xml:space="preserve">Certificate of Correction
   Document
   </t>
    </r>
    <r>
      <rPr>
        <b/>
        <u/>
        <sz val="12"/>
        <color theme="1"/>
        <rFont val="Calibri"/>
        <family val="2"/>
        <scheme val="minor"/>
      </rPr>
      <t>Plus</t>
    </r>
    <r>
      <rPr>
        <sz val="12"/>
        <color theme="1"/>
        <rFont val="Calibri"/>
        <family val="2"/>
        <scheme val="minor"/>
      </rPr>
      <t xml:space="preserve"> Administration</t>
    </r>
  </si>
  <si>
    <r>
      <t xml:space="preserve">Appraisal Services
   Consultant Report
  </t>
    </r>
    <r>
      <rPr>
        <b/>
        <sz val="12"/>
        <color theme="1"/>
        <rFont val="Calibri"/>
        <family val="2"/>
        <scheme val="minor"/>
      </rPr>
      <t xml:space="preserve"> </t>
    </r>
    <r>
      <rPr>
        <b/>
        <u/>
        <sz val="12"/>
        <color theme="1"/>
        <rFont val="Calibri"/>
        <family val="2"/>
        <scheme val="minor"/>
      </rPr>
      <t>Plus</t>
    </r>
    <r>
      <rPr>
        <b/>
        <sz val="12"/>
        <color theme="1"/>
        <rFont val="Calibri"/>
        <family val="2"/>
        <scheme val="minor"/>
      </rPr>
      <t xml:space="preserve"> </t>
    </r>
    <r>
      <rPr>
        <sz val="12"/>
        <color theme="1"/>
        <rFont val="Calibri"/>
        <family val="2"/>
        <scheme val="minor"/>
      </rPr>
      <t>Administration</t>
    </r>
  </si>
  <si>
    <r>
      <t xml:space="preserve">Special Studies
   Consultant Report
   Consultant Peer Review
  </t>
    </r>
    <r>
      <rPr>
        <u/>
        <sz val="12"/>
        <color theme="1"/>
        <rFont val="Calibri"/>
        <family val="2"/>
        <scheme val="minor"/>
      </rPr>
      <t xml:space="preserve"> </t>
    </r>
    <r>
      <rPr>
        <b/>
        <u/>
        <sz val="12"/>
        <color theme="1"/>
        <rFont val="Calibri"/>
        <family val="2"/>
        <scheme val="minor"/>
      </rPr>
      <t>Plus</t>
    </r>
    <r>
      <rPr>
        <b/>
        <sz val="12"/>
        <color theme="1"/>
        <rFont val="Calibri"/>
        <family val="2"/>
        <scheme val="minor"/>
      </rPr>
      <t xml:space="preserve"> </t>
    </r>
    <r>
      <rPr>
        <sz val="12"/>
        <color theme="1"/>
        <rFont val="Calibri"/>
        <family val="2"/>
        <scheme val="minor"/>
      </rPr>
      <t>Administration</t>
    </r>
  </si>
  <si>
    <r>
      <t>Attorney Cost Recovery</t>
    </r>
    <r>
      <rPr>
        <vertAlign val="superscript"/>
        <sz val="12"/>
        <color theme="1"/>
        <rFont val="Calibri"/>
        <family val="2"/>
        <scheme val="minor"/>
      </rPr>
      <t>5</t>
    </r>
    <r>
      <rPr>
        <sz val="12"/>
        <color theme="1"/>
        <rFont val="Calibri"/>
        <family val="2"/>
        <scheme val="minor"/>
      </rPr>
      <t xml:space="preserve"> Account - Post Entitlement</t>
    </r>
  </si>
  <si>
    <r>
      <t>660-1590-</t>
    </r>
    <r>
      <rPr>
        <sz val="12"/>
        <color rgb="FFFF0000"/>
        <rFont val="Calibri"/>
        <family val="2"/>
        <scheme val="minor"/>
      </rPr>
      <t>XXX</t>
    </r>
  </si>
  <si>
    <r>
      <t>660-1590-</t>
    </r>
    <r>
      <rPr>
        <sz val="12"/>
        <color rgb="FFFF0000"/>
        <rFont val="Calibri"/>
        <family val="2"/>
        <scheme val="minor"/>
      </rPr>
      <t>XXX</t>
    </r>
    <r>
      <rPr>
        <sz val="12"/>
        <color theme="1"/>
        <rFont val="Calibri"/>
        <family val="2"/>
        <scheme val="minor"/>
      </rPr>
      <t xml:space="preserve">
660-1590-</t>
    </r>
    <r>
      <rPr>
        <sz val="12"/>
        <color rgb="FFFF0000"/>
        <rFont val="Calibri"/>
        <family val="2"/>
        <scheme val="minor"/>
      </rPr>
      <t>XXX</t>
    </r>
    <r>
      <rPr>
        <sz val="12"/>
        <color theme="1"/>
        <rFont val="Calibri"/>
        <family val="2"/>
        <scheme val="minor"/>
      </rPr>
      <t xml:space="preserve">
010-63-00-0000-3243-000</t>
    </r>
  </si>
  <si>
    <r>
      <t>660-1590-</t>
    </r>
    <r>
      <rPr>
        <sz val="12"/>
        <color rgb="FFFF0000"/>
        <rFont val="Calibri"/>
        <family val="2"/>
        <scheme val="minor"/>
      </rPr>
      <t>XXX</t>
    </r>
    <r>
      <rPr>
        <sz val="12"/>
        <color theme="1"/>
        <rFont val="Calibri"/>
        <family val="2"/>
        <scheme val="minor"/>
      </rPr>
      <t xml:space="preserve">
010-63-00-0000-3243-000</t>
    </r>
  </si>
  <si>
    <r>
      <t>660-1590-</t>
    </r>
    <r>
      <rPr>
        <sz val="12"/>
        <color rgb="FFFF0000"/>
        <rFont val="Calibri"/>
        <family val="2"/>
        <scheme val="minor"/>
      </rPr>
      <t>XXX</t>
    </r>
    <r>
      <rPr>
        <sz val="12"/>
        <color theme="1"/>
        <rFont val="Calibri"/>
        <family val="2"/>
        <scheme val="minor"/>
      </rPr>
      <t xml:space="preserve">
010-63-00-0000-3243-000
010-63-00-0000-3243-000</t>
    </r>
  </si>
  <si>
    <r>
      <t>660-1590-</t>
    </r>
    <r>
      <rPr>
        <sz val="12"/>
        <color rgb="FFFF0000"/>
        <rFont val="Calibri"/>
        <family val="2"/>
        <scheme val="minor"/>
      </rPr>
      <t>XXX</t>
    </r>
    <r>
      <rPr>
        <sz val="12"/>
        <color theme="1"/>
        <rFont val="Calibri"/>
        <family val="2"/>
        <scheme val="minor"/>
      </rPr>
      <t xml:space="preserve">
010-63-00-0000-3244-000</t>
    </r>
  </si>
  <si>
    <r>
      <rPr>
        <sz val="12"/>
        <color theme="0"/>
        <rFont val="Calibri"/>
        <family val="2"/>
        <scheme val="minor"/>
      </rPr>
      <t xml:space="preserve">                               </t>
    </r>
    <r>
      <rPr>
        <b/>
        <sz val="14"/>
        <color theme="0"/>
        <rFont val="Calibri"/>
        <family val="2"/>
        <scheme val="minor"/>
      </rPr>
      <t>Engineering Division Service Fees</t>
    </r>
    <r>
      <rPr>
        <sz val="14"/>
        <color theme="0"/>
        <rFont val="Calibri"/>
        <family val="2"/>
        <scheme val="minor"/>
      </rPr>
      <t xml:space="preserve">  </t>
    </r>
    <r>
      <rPr>
        <sz val="12"/>
        <color theme="0"/>
        <rFont val="Calibri"/>
        <family val="2"/>
        <scheme val="minor"/>
      </rPr>
      <t xml:space="preserve">                                 </t>
    </r>
    <r>
      <rPr>
        <sz val="8"/>
        <color theme="0"/>
        <rFont val="Calibri"/>
        <family val="2"/>
        <scheme val="minor"/>
      </rPr>
      <t xml:space="preserve">                                                                          </t>
    </r>
    <r>
      <rPr>
        <b/>
        <sz val="12"/>
        <color theme="0"/>
        <rFont val="Calibri"/>
        <family val="2"/>
        <scheme val="minor"/>
      </rPr>
      <t xml:space="preserve">
</t>
    </r>
  </si>
  <si>
    <t>Development Impact Fee Adjustment Effective July 21, 2022</t>
  </si>
  <si>
    <t>Administrative Fee</t>
  </si>
  <si>
    <t>Fee Adjustment Calculation</t>
  </si>
  <si>
    <t>Fee Adjustment Per Resolution - Section 12 *</t>
  </si>
  <si>
    <t>Component</t>
  </si>
  <si>
    <t>Beginning Factor</t>
  </si>
  <si>
    <t>Ending    Factor</t>
  </si>
  <si>
    <t>Difference</t>
  </si>
  <si>
    <r>
      <t xml:space="preserve">% </t>
    </r>
    <r>
      <rPr>
        <b/>
        <u/>
        <sz val="10"/>
        <rFont val="Arial"/>
        <family val="2"/>
      </rPr>
      <t>Increase</t>
    </r>
  </si>
  <si>
    <t xml:space="preserve">  Notes</t>
  </si>
  <si>
    <t>&lt;-- CPI - All Urban Consumers for San Francisco - Oakland - San Jose by US Dept of Labor for April</t>
  </si>
  <si>
    <t>Construction costs - ENR (Apr to Apr)</t>
  </si>
  <si>
    <t xml:space="preserve">Applies to Traffic Mit, Public Facil, Fire Facil &amp; Park Development Impact Fees </t>
  </si>
  <si>
    <t>Construction costs - ENR (Jun to Jun)</t>
  </si>
  <si>
    <t>Applies to Water Capacity Fee &amp; Water Reclamation Capacity Fees, Drainage</t>
  </si>
  <si>
    <t>Land acquisition costs</t>
  </si>
  <si>
    <t>No longer applies to Drainage</t>
  </si>
  <si>
    <t xml:space="preserve">NOTES: </t>
  </si>
  <si>
    <t>Land acquisition costs - ENR (Apr)</t>
  </si>
  <si>
    <t xml:space="preserve">Applies to Public Facilities &amp; Park Development Impact Fees </t>
  </si>
  <si>
    <t>Only change the cells that are in RED</t>
  </si>
  <si>
    <t>Facilities costs</t>
  </si>
  <si>
    <t xml:space="preserve">Applies to Facilities Component of Impact Fees </t>
  </si>
  <si>
    <t>Cells in grey are formula based.  Do not touch</t>
  </si>
  <si>
    <t>Take C6 number and enter into B6 which will start the beginning factor from prior year info.  The NEW C6 will be from ENR</t>
  </si>
  <si>
    <t>*  The fee adjustment for: (1) construction costs is based on ENR construction cost indices; (2) land acquisition costs is based on 5/05 and 5/06 estimates</t>
  </si>
  <si>
    <t>Repeat for C7 &amp; C10</t>
  </si>
  <si>
    <t xml:space="preserve">     or ENR for fees adopted in 2010; (3) facilities costs is based on prior year x All Urban Consumers CPI inflation adjustment.</t>
  </si>
  <si>
    <t>ENR website for construction costs https://www.enr.com/economics/historical_indices/construction_cost_index_history</t>
  </si>
  <si>
    <t>Note:  The tables below of construction, land acquisition and facilities costs are from the development impact fee consultant reports.</t>
  </si>
  <si>
    <t>Water Capacity Fees</t>
  </si>
  <si>
    <t>Table 1</t>
  </si>
  <si>
    <t>% of Total</t>
  </si>
  <si>
    <t>Construction costs</t>
  </si>
  <si>
    <t xml:space="preserve">Total  </t>
  </si>
  <si>
    <t>Resolution 1566-03 effective 12/3/03; Resolution 2764-11 effective 3/20/11; Resolution 1864-17 effective 4/16/17</t>
  </si>
  <si>
    <t>NOTES:</t>
  </si>
  <si>
    <t xml:space="preserve">Apportionment </t>
  </si>
  <si>
    <t>With % Increase (per fee adjmt above)</t>
  </si>
  <si>
    <t>Update cells B27-B43 with prior Effective rates located in cells K27-K44</t>
  </si>
  <si>
    <t>Prior Fee</t>
  </si>
  <si>
    <t>Const.</t>
  </si>
  <si>
    <t>Land Acq.</t>
  </si>
  <si>
    <t>Facil.</t>
  </si>
  <si>
    <t>Cells K27-K44 will automatically populate by the formuas above</t>
  </si>
  <si>
    <t>Effective date will be updated by cell K133</t>
  </si>
  <si>
    <t xml:space="preserve">  Small Single Residence (2)</t>
  </si>
  <si>
    <t>/residence</t>
  </si>
  <si>
    <t>REPEAT steps below for the remaining Fees</t>
  </si>
  <si>
    <t xml:space="preserve">  Accessory Dwelling Unit(ADU) (3)</t>
  </si>
  <si>
    <t>Multi-Family Residential (4)</t>
  </si>
  <si>
    <t xml:space="preserve">   Per Dweling Unit</t>
  </si>
  <si>
    <t>Non-Residential:</t>
  </si>
  <si>
    <t xml:space="preserve">  1 inch</t>
  </si>
  <si>
    <t>/meter</t>
  </si>
  <si>
    <t xml:space="preserve">  1-1/2 inch</t>
  </si>
  <si>
    <t xml:space="preserve">  2 inch </t>
  </si>
  <si>
    <t xml:space="preserve">  3 inch</t>
  </si>
  <si>
    <t xml:space="preserve">  4 inch</t>
  </si>
  <si>
    <t xml:space="preserve">  6 inch</t>
  </si>
  <si>
    <t xml:space="preserve">  8 inch</t>
  </si>
  <si>
    <t>Dedicated Irrigation</t>
  </si>
  <si>
    <t xml:space="preserve">  1-1/2 Inch</t>
  </si>
  <si>
    <t xml:space="preserve">(1) Each of the water meters in this category is sized up to and including 1" meter.  If special situation requires the use of a larger meter, additional fees will be due and payable, </t>
  </si>
  <si>
    <t>as determined by the Director of Public Works.</t>
  </si>
  <si>
    <t>(2) Small single family residence has been defined as loys up to 4,000 sq. ft. and building size up to 1,200 sq. ft.</t>
  </si>
  <si>
    <t>(3) ADUs shall not have separate water service connections and are not subject to a water capacity fee.  Additional costs may be incurred if a proposed development</t>
  </si>
  <si>
    <t xml:space="preserve"> requires changes to a service size or location to meet excisting standards.</t>
  </si>
  <si>
    <t>(4) Includes duplex, triplex, fourplex, townhome, apartment, condominium and live/work units and manufactured (including mobile) homes without a permanent foundation.</t>
  </si>
  <si>
    <t>Water Reclamation Capacity Fees</t>
  </si>
  <si>
    <t>Resolution 3045-13 effective 1/18/14; Resolution 3087-14 effective 5/12/2014; Resolution 1865-17 effective 4/16/17</t>
  </si>
  <si>
    <t>Single Family Residential:</t>
  </si>
  <si>
    <t xml:space="preserve">  Small Single Family Residence (1)</t>
  </si>
  <si>
    <t xml:space="preserve">  Standard Single Family Residential (SFR)</t>
  </si>
  <si>
    <t>per SFR</t>
  </si>
  <si>
    <t xml:space="preserve">  Accessory Dwelling Unit (ADU) (2)</t>
  </si>
  <si>
    <t>Multi-family Residential (3):</t>
  </si>
  <si>
    <t xml:space="preserve">  Per Dwelling Unit</t>
  </si>
  <si>
    <t>per DU</t>
  </si>
  <si>
    <t>Non-standard Development Projects (5)</t>
  </si>
  <si>
    <t>per ESD</t>
  </si>
  <si>
    <t>Nonresidential (4):</t>
  </si>
  <si>
    <t>Low</t>
  </si>
  <si>
    <t>Medium</t>
  </si>
  <si>
    <t>High</t>
  </si>
  <si>
    <t>(1) Small single family residence has been defined as lots up to 4,000 sq. ft. and building size up to 1,200 sq. ft.</t>
  </si>
  <si>
    <t>(2) ADUs shall not have separate water service connections and are not subject to a water capacity fee.  Additional costs may be incurred if a proposed development</t>
  </si>
  <si>
    <t>(3) Includes duplex, triplex, fourplex, townhome, apartment, condominium and live/work units and manufactured (including mobile) homes without a permanent foundation.</t>
  </si>
  <si>
    <t xml:space="preserve">(4) Wastewater strength categories (low, medium and high) are used for both capacity fee and monthly wastewater billing puposes, and is based on historic practices within </t>
  </si>
  <si>
    <t>the Town and published data.</t>
  </si>
  <si>
    <t xml:space="preserve">(5) For new connections with non-standard waste characteristics, the waste water capacity fee shall be determined based on the number of equivalent single-family </t>
  </si>
  <si>
    <t>dwellings (ESD's) as follows:</t>
  </si>
  <si>
    <t>WWCF=$10519 x Flow / 200 x [0.83 + (0.12 x BOD / 200) + (0.05 x TSS / 175)]</t>
  </si>
  <si>
    <t xml:space="preserve">Where: </t>
  </si>
  <si>
    <t>WWCF= Calculated wastewater capacity fee</t>
  </si>
  <si>
    <t>Flow= Wastewater flow in gallons per day</t>
  </si>
  <si>
    <t>BOD= Biochemical oxygen demand of discharge in mg/l</t>
  </si>
  <si>
    <t>TSS= Total suspended solids of discharge in mg/l</t>
  </si>
  <si>
    <t>Non standard may include, but is not limited to, food processing, beverage manufacturing, wine production and breweries</t>
  </si>
  <si>
    <t>(6) Small Wineries from prior FY have been removed</t>
  </si>
  <si>
    <t>Traffic Impact Fees</t>
  </si>
  <si>
    <t>Page 26</t>
  </si>
  <si>
    <t>Resolution 3590-20</t>
  </si>
  <si>
    <t>Apportionment (per % above)</t>
  </si>
  <si>
    <t xml:space="preserve">Residential - </t>
  </si>
  <si>
    <t xml:space="preserve">  Single Family</t>
  </si>
  <si>
    <t>/unit</t>
  </si>
  <si>
    <t xml:space="preserve">  Multi-family</t>
  </si>
  <si>
    <t xml:space="preserve">  Additional Dwelling Unit (ADU)/Unit</t>
  </si>
  <si>
    <t>/1000 sq ft</t>
  </si>
  <si>
    <t>Light Industrial</t>
  </si>
  <si>
    <t>Institutional/KSF</t>
  </si>
  <si>
    <t>Drainage Impact Fees</t>
  </si>
  <si>
    <t>Table 3</t>
  </si>
  <si>
    <t xml:space="preserve">Resolution 3598-19 </t>
  </si>
  <si>
    <t xml:space="preserve">Nonresidential - </t>
  </si>
  <si>
    <t xml:space="preserve">  Commercial</t>
  </si>
  <si>
    <t xml:space="preserve">  Industrial</t>
  </si>
  <si>
    <t>Park Development Impact Fees</t>
  </si>
  <si>
    <t>*Note cells 140-151 hidden to calculate effective fee</t>
  </si>
  <si>
    <t>Resolution 2673-10 effective 6/21/10; Resolution 3339-17 effective 5/1/17</t>
  </si>
  <si>
    <t>Effective 7/21/22</t>
  </si>
  <si>
    <t>/dwelling unit</t>
  </si>
  <si>
    <t>Multi-family</t>
  </si>
  <si>
    <t>Mobile Home</t>
  </si>
  <si>
    <t>Accessory Unit &gt; 500 SF</t>
  </si>
  <si>
    <t>Accessory Unit &lt;=500 SF</t>
  </si>
  <si>
    <t>Park Land Acquisition &amp; Improvement Fee</t>
  </si>
  <si>
    <t>Park Improvement Fee</t>
  </si>
  <si>
    <t>Recreation Impact Fee</t>
  </si>
  <si>
    <t>Table 5, 7</t>
  </si>
  <si>
    <t>Resolution 2673-10 effective 6/21/10; Resolution 3340-17 effective 5/1/17</t>
  </si>
  <si>
    <t>Apportionment</t>
  </si>
  <si>
    <t>Open Space Impact Fees</t>
  </si>
  <si>
    <t>Resolution 3341-17 effective 5/1/17</t>
  </si>
  <si>
    <t>Trails Impact Fees</t>
  </si>
  <si>
    <t>Resolution 3342-17 effective 5/1/17</t>
  </si>
  <si>
    <t>Public Facilities Impact Fees</t>
  </si>
  <si>
    <t>Table 2</t>
  </si>
  <si>
    <t>Resolution 2674-10 effective 6/21/10; Resolution 3343-17 effective 5/1/17</t>
  </si>
  <si>
    <t xml:space="preserve">  Office</t>
  </si>
  <si>
    <t>Police Impact Fees</t>
  </si>
  <si>
    <t>Fire Facilities Impact Fees</t>
  </si>
  <si>
    <t>Facilities costs (less interest exp)</t>
  </si>
  <si>
    <t>Resolution 3696-21 Effective November 1, 2021</t>
  </si>
  <si>
    <t>/sq ft</t>
  </si>
  <si>
    <t>Accessory Unit &gt; 750 SF</t>
  </si>
  <si>
    <t xml:space="preserve">  Retail/Commercial</t>
  </si>
  <si>
    <t>Standard Single Family</t>
  </si>
  <si>
    <t>Single Family Residential (1)</t>
  </si>
  <si>
    <t>Inclusionary Housing In Lieu Fee Schedule</t>
  </si>
  <si>
    <t>Inclusionary Housing In Lieu</t>
  </si>
  <si>
    <t>FY2022-23</t>
  </si>
  <si>
    <t>Fee Schedule</t>
  </si>
  <si>
    <t>Rates effective: 7/21/22</t>
  </si>
  <si>
    <t>(Revised: 01/07/09 ORD 2009-250)</t>
  </si>
  <si>
    <t>Inflationary increase per section 27.23.130 B</t>
  </si>
  <si>
    <t>Unit Square Footage</t>
  </si>
  <si>
    <t>Per Square Foot Fee</t>
  </si>
  <si>
    <t>Total Per Unit Fee</t>
  </si>
  <si>
    <t>Up to 1,000</t>
  </si>
  <si>
    <t>Percent change:</t>
  </si>
  <si>
    <t>-----------&gt;</t>
  </si>
  <si>
    <t>rolling 3 yr average of median home sales prices</t>
  </si>
  <si>
    <t>2020-22</t>
  </si>
  <si>
    <t>Median $ 2009</t>
  </si>
  <si>
    <t>Median $ 2010</t>
  </si>
  <si>
    <t>Median $ 2011</t>
  </si>
  <si>
    <t>Median $ 2012</t>
  </si>
  <si>
    <t>Median $ 2013</t>
  </si>
  <si>
    <t>Median $ 2014</t>
  </si>
  <si>
    <t>Median $ 2015</t>
  </si>
  <si>
    <t>Median $ 2016</t>
  </si>
  <si>
    <t>Median $ 2017</t>
  </si>
  <si>
    <t>Median $ 2018</t>
  </si>
  <si>
    <t>Median $ 2019</t>
  </si>
  <si>
    <t>Median $ 2020</t>
  </si>
  <si>
    <t>Median $ 2021</t>
  </si>
  <si>
    <t>Median $ 2022</t>
  </si>
  <si>
    <t xml:space="preserve">Median home price in Windsor, CA as of April </t>
  </si>
  <si>
    <t xml:space="preserve">Look up value in Zillow, Trulia or other </t>
  </si>
  <si>
    <t>comparable sites</t>
  </si>
  <si>
    <t xml:space="preserve">Current Median $ </t>
  </si>
  <si>
    <t>Zillow</t>
  </si>
  <si>
    <t>Movoto RE</t>
  </si>
  <si>
    <t xml:space="preserve">Realtor.com </t>
  </si>
  <si>
    <t>Rates Effective July 21, 2022</t>
  </si>
  <si>
    <t>IV. Engineering</t>
  </si>
  <si>
    <t>Prior Year Fee (copy and paste fees as a value in this column for conditional formatting)</t>
  </si>
  <si>
    <t>Service/Activity Category &amp; Description</t>
  </si>
  <si>
    <t>Fee</t>
  </si>
  <si>
    <t>7/1/09</t>
  </si>
  <si>
    <t>7/1/10</t>
  </si>
  <si>
    <t>7/1/11</t>
  </si>
  <si>
    <t>7/1/12</t>
  </si>
  <si>
    <t>Improvement Plan Check and Inspection</t>
  </si>
  <si>
    <t>Plan Check and Inspection (up to 4 plan checks)</t>
  </si>
  <si>
    <t>9.0% of engineer's estimate</t>
  </si>
  <si>
    <t>Additional Plan Check (over 4 reviews)</t>
  </si>
  <si>
    <t>1.4% of engineer's estimate</t>
  </si>
  <si>
    <t>7/7/21 removed the following (above 4 checks included in the original fee)</t>
  </si>
  <si>
    <t>Revision to Improvement Plan During Construction</t>
  </si>
  <si>
    <t>per revision plus consultant services</t>
  </si>
  <si>
    <t>Additional Inspection Due to Improvement Plan Revision</t>
  </si>
  <si>
    <t>per hour - time and materials</t>
  </si>
  <si>
    <t>Special Projects and Inspections (cost recovery)</t>
  </si>
  <si>
    <t>Actual consultant rate per hour</t>
  </si>
  <si>
    <t>(Fees listed above do not include SWLID/SWDOC/WELO - see below)</t>
  </si>
  <si>
    <t>Map Check</t>
  </si>
  <si>
    <t>Fixed Fee</t>
  </si>
  <si>
    <t>per application</t>
  </si>
  <si>
    <t>plus: Lot/Parcel Fee</t>
  </si>
  <si>
    <t>per lot/parcel</t>
  </si>
  <si>
    <t>Encroachment Permits</t>
  </si>
  <si>
    <t>Review, Major</t>
  </si>
  <si>
    <t>Review, Subcontractor</t>
  </si>
  <si>
    <t>Review, Minor</t>
  </si>
  <si>
    <t>plus: Inspection</t>
  </si>
  <si>
    <t>per hour</t>
  </si>
  <si>
    <t>Inspection</t>
  </si>
  <si>
    <t>Town Inspector(s)</t>
  </si>
  <si>
    <t>and/or: Consultant</t>
  </si>
  <si>
    <t>Transportation Permits</t>
  </si>
  <si>
    <t>Daily Transportation Permit</t>
  </si>
  <si>
    <t>per application per day</t>
  </si>
  <si>
    <t>Est by state</t>
  </si>
  <si>
    <t>Annual Transportation Permit</t>
  </si>
  <si>
    <t>per application per year</t>
  </si>
  <si>
    <t>Public Right of Way/Easement Abandonment</t>
  </si>
  <si>
    <t>Consultant Report</t>
  </si>
  <si>
    <t>plus: Administration</t>
  </si>
  <si>
    <t>Reapportionment</t>
  </si>
  <si>
    <t>Traffic Impact Study</t>
  </si>
  <si>
    <t>Consultant Report:</t>
  </si>
  <si>
    <t>actual consultant rate per hour</t>
  </si>
  <si>
    <t xml:space="preserve">New 7/7/21 </t>
  </si>
  <si>
    <t>Level 1, Less than 50 peak hour trips/2 study intersection</t>
  </si>
  <si>
    <t>per study</t>
  </si>
  <si>
    <t>Level 2, 51-100 peak hour trips/4 study intersections</t>
  </si>
  <si>
    <t>Level 3, 101-250 peak hour trips/6 study intersections</t>
  </si>
  <si>
    <t>Special Study</t>
  </si>
  <si>
    <t>Amendment to Study</t>
  </si>
  <si>
    <t>per amendment</t>
  </si>
  <si>
    <t>Deeds</t>
  </si>
  <si>
    <t xml:space="preserve">Consultant Report </t>
  </si>
  <si>
    <t>per document</t>
  </si>
  <si>
    <t>Lot Line Adjustment</t>
  </si>
  <si>
    <t>Lot Merger</t>
  </si>
  <si>
    <t xml:space="preserve">Administration </t>
  </si>
  <si>
    <t>Certificate of Correction</t>
  </si>
  <si>
    <t xml:space="preserve">Certification of Compliance </t>
  </si>
  <si>
    <t>Appraisal Services</t>
  </si>
  <si>
    <t>Consultant Services</t>
  </si>
  <si>
    <t xml:space="preserve">per request </t>
  </si>
  <si>
    <t>two hours of engineering time</t>
  </si>
  <si>
    <t>Development Impact Fee Refund (Project Withdrawn)</t>
  </si>
  <si>
    <t>per request</t>
  </si>
  <si>
    <t>Non-Residential</t>
  </si>
  <si>
    <t>Senate Bill 9 - Lot Split Application</t>
  </si>
  <si>
    <t xml:space="preserve">plus: Administration </t>
  </si>
  <si>
    <t xml:space="preserve">Engineering hourly rate x 2, as a deposit and unused monies will be refunded until FY23/24 with an established rate. </t>
  </si>
  <si>
    <t>Special Printing</t>
  </si>
  <si>
    <t>Base Maps</t>
  </si>
  <si>
    <t>per page</t>
  </si>
  <si>
    <t>Large Document Copy</t>
  </si>
  <si>
    <t>Special Studies</t>
  </si>
  <si>
    <t>per application plus consultant services</t>
  </si>
  <si>
    <t>Consultant Peer Review</t>
  </si>
  <si>
    <t>Storm Water Low Impact Development (SWLID)</t>
  </si>
  <si>
    <t>Declaration of Covenants for Storm Water Facilities (SWDOC)</t>
  </si>
  <si>
    <t>Water Efficient Landscape Ordinance (WELO)</t>
  </si>
  <si>
    <t>Town Attorney Cost Recovery</t>
  </si>
  <si>
    <t xml:space="preserve">For any activity requiring review by the Town Attorney, the applicant shall reimburse the Town for actual costs incurred </t>
  </si>
  <si>
    <t xml:space="preserve">from the Town Attorney.  The Director of the Public Works Department shall determine the appropriate deposit to be </t>
  </si>
  <si>
    <t>submitted by the applicant for recovery of Town Attorney costs.</t>
  </si>
  <si>
    <t>Cost Recovery for Professional Consulting Services</t>
  </si>
  <si>
    <t xml:space="preserve">For any activity requiring professional consulting services, the applicant shall reimburse the Town for actual costs </t>
  </si>
  <si>
    <t xml:space="preserve">incurred to employ professional consulting services.  The Public Works Director shall determine the appropriate </t>
  </si>
  <si>
    <t>deposit to be submitted by the applicant for recovery of professional consulting costs.</t>
  </si>
  <si>
    <t xml:space="preserve">For services requested of Town staff for which no fee is listed in this Master Fee Schedule, the Public Works Director </t>
  </si>
  <si>
    <t>shall determine the appropriate fee, based on the following hourly rates for staff time involved in the service or activity:</t>
  </si>
  <si>
    <t>Planning Staff:</t>
  </si>
  <si>
    <t>Engineering Staff:</t>
  </si>
  <si>
    <t>Building Inspection Staff:</t>
  </si>
  <si>
    <t>VI. Public Works</t>
  </si>
  <si>
    <t>13/14</t>
  </si>
  <si>
    <t>14/15</t>
  </si>
  <si>
    <t>15/16</t>
  </si>
  <si>
    <t>16/17</t>
  </si>
  <si>
    <t>Leak Test</t>
  </si>
  <si>
    <t>First Call</t>
  </si>
  <si>
    <t>per call</t>
  </si>
  <si>
    <t>Subsequent Calls with No Leak Found</t>
  </si>
  <si>
    <t>Change to per hour</t>
  </si>
  <si>
    <t xml:space="preserve">After Hours </t>
  </si>
  <si>
    <t xml:space="preserve">per hour </t>
  </si>
  <si>
    <t>SB998 Effective Feb 1, 2020 maximum charge $150 (1/1/21 annual CPI)</t>
  </si>
  <si>
    <t>Inaccessible Meter - Surface Obstruction</t>
  </si>
  <si>
    <t>First Occurrence</t>
  </si>
  <si>
    <t>Notified in writing</t>
  </si>
  <si>
    <t>Subsequent Attempt, Notified in Writing</t>
  </si>
  <si>
    <t>per occurrence for removal</t>
  </si>
  <si>
    <t>Inaccessible Meter - Meter Environmental Obstruction</t>
  </si>
  <si>
    <t>Second Occurrence</t>
  </si>
  <si>
    <t>per occurrence</t>
  </si>
  <si>
    <t>Subsequent Occurrences</t>
  </si>
  <si>
    <t>Meter Service Size Change</t>
  </si>
  <si>
    <t>per request plus permit fee</t>
  </si>
  <si>
    <t>Change from % to per hour</t>
  </si>
  <si>
    <t xml:space="preserve">plus cost of meter </t>
  </si>
  <si>
    <t>Meter Test</t>
  </si>
  <si>
    <t>First Test per Year</t>
  </si>
  <si>
    <t>per test</t>
  </si>
  <si>
    <t>Remove section - PW does not have test bench</t>
  </si>
  <si>
    <t>3/4" Meter, Subsequent Test, Within 2% Accuracy</t>
  </si>
  <si>
    <t>cost of meter</t>
  </si>
  <si>
    <t>&gt;3/4" Meter, Subsequent Test, Within 2% Accuracy</t>
  </si>
  <si>
    <t>Late Charge (30 Days Past Billing Date)</t>
  </si>
  <si>
    <t>Same Day Water Utility Start Service</t>
  </si>
  <si>
    <t>Business Hours: M-Th, 7:00 am to 5:00 pm</t>
  </si>
  <si>
    <t>After Hours: Fridays, Closures, Holidays &amp; Weekends</t>
  </si>
  <si>
    <t>(prior fee established by PW staff rates multiplied by time and one half)</t>
  </si>
  <si>
    <t>Disconnect/Reconnect Water Service</t>
  </si>
  <si>
    <t>Business Hours, 7:00 AM - 5:00 PM (M-TH)</t>
  </si>
  <si>
    <t>per occurrence plus full payment</t>
  </si>
  <si>
    <t>SB998 Effective Feb 1, 2020 maximum charge $50 (1/1/21 annual CPI)</t>
  </si>
  <si>
    <t xml:space="preserve">Subsequent calls - same service location </t>
  </si>
  <si>
    <t>After Hours, Fridays, Closures, Holidays &amp; Weekends</t>
  </si>
  <si>
    <t>Meter Tamper Fee</t>
  </si>
  <si>
    <t>First Offense</t>
  </si>
  <si>
    <t>Second Offense</t>
  </si>
  <si>
    <t>Subsequent Offenses</t>
  </si>
  <si>
    <t>Water Efficient Landscape Ordinance</t>
  </si>
  <si>
    <t>Hydrant Pressure Testing Fee</t>
  </si>
  <si>
    <t>Change from per test to per hour</t>
  </si>
  <si>
    <t>Landscape Inspection Fee</t>
  </si>
  <si>
    <t>per inspection</t>
  </si>
  <si>
    <t xml:space="preserve">Landscape Re-inspection Fee </t>
  </si>
  <si>
    <t>per re-inspection</t>
  </si>
  <si>
    <t>Unauthorized Use of Town Water</t>
  </si>
  <si>
    <t>Time and materials plus citation</t>
  </si>
  <si>
    <t>Water Waste Violation</t>
  </si>
  <si>
    <t>First Violation</t>
  </si>
  <si>
    <t>per violation</t>
  </si>
  <si>
    <t>Per Ordinance</t>
  </si>
  <si>
    <t>Second Violation</t>
  </si>
  <si>
    <t xml:space="preserve">Third Violation </t>
  </si>
  <si>
    <t>Fourth Violation</t>
  </si>
  <si>
    <t>Fifth Violation</t>
  </si>
  <si>
    <t>Subsequent Violations</t>
  </si>
  <si>
    <t>Disconnection of water service and/or penalties</t>
  </si>
  <si>
    <t>Subsequent Warnings</t>
  </si>
  <si>
    <t>per notice plus citation</t>
  </si>
  <si>
    <t>No longer applicable per Water Continguency Plan update 7/21/21</t>
  </si>
  <si>
    <t>`</t>
  </si>
  <si>
    <t>Hydrant Meter Setting</t>
  </si>
  <si>
    <t>Deposit</t>
  </si>
  <si>
    <t>Utility Account</t>
  </si>
  <si>
    <t>per account</t>
  </si>
  <si>
    <t>Construction Meter</t>
  </si>
  <si>
    <t>Bridge Meter</t>
  </si>
  <si>
    <t>Hydrant Meter</t>
  </si>
  <si>
    <t>Failure to Return Meter</t>
  </si>
  <si>
    <t>per meter plus payment in full and</t>
  </si>
  <si>
    <t>forfeiture of deposit</t>
  </si>
  <si>
    <t>Domestic Water Meter Installation</t>
  </si>
  <si>
    <t>All Meters less than 2"</t>
  </si>
  <si>
    <t>plus actual cost of meter</t>
  </si>
  <si>
    <t>All Meters greater than 2" provided and installed per Town</t>
  </si>
  <si>
    <t>standards by customer or applicant</t>
  </si>
  <si>
    <t>Recycled Water Meter Installation</t>
  </si>
  <si>
    <t>Comprehensive Water Quality Test and Analysis</t>
  </si>
  <si>
    <t>per test plus actual lab cost</t>
  </si>
  <si>
    <t>Inspection of Backflow Prevention Device Installation</t>
  </si>
  <si>
    <t>Fire Flow Test</t>
  </si>
  <si>
    <t>Sewer Lateral Connection Inspection</t>
  </si>
  <si>
    <t>Unauthorized Disposal of Wastewater</t>
  </si>
  <si>
    <t>plus citation</t>
  </si>
  <si>
    <t>Special Cases</t>
  </si>
  <si>
    <t>Unauthorized Disposal of Toxic Waste</t>
  </si>
  <si>
    <t>Installation and Testing of Recycled Water</t>
  </si>
  <si>
    <t>per installation</t>
  </si>
  <si>
    <t>Cross-Connection Testing (Recycled Water Account)</t>
  </si>
  <si>
    <t>per hour plus time and materials</t>
  </si>
  <si>
    <t>Monthly Backflow Prevention Device Service Charge</t>
  </si>
  <si>
    <t>Up to 1"</t>
  </si>
  <si>
    <t>per month, charged on utility bill</t>
  </si>
  <si>
    <t>1-1/2" and Larger</t>
  </si>
  <si>
    <t>Cost Recovery for Professional Consulting Services, Including Town Attorney Services</t>
  </si>
  <si>
    <t>For any activity requiring professional consulting services, including Town Attorney services, the applicant</t>
  </si>
  <si>
    <t>shall reimburse the Town for actual costs incurred to employ professional consulting services. The Department</t>
  </si>
  <si>
    <t>Director shall determine the appropriate deposit to be submitted by the applicant for recovery of</t>
  </si>
  <si>
    <t>professional consulting services.</t>
  </si>
  <si>
    <t>General Services</t>
  </si>
  <si>
    <t xml:space="preserve">For services requested of Town staff for which no fee is listed in this Master Fee Schedule, the Director of the </t>
  </si>
  <si>
    <t xml:space="preserve">department whose services are requested shall determine the appropriate fee, based on the following hourly rates for </t>
  </si>
  <si>
    <t>staff time involved in the service or activity:</t>
  </si>
  <si>
    <t>Public Works Department:</t>
  </si>
  <si>
    <t>Administrative Services Department:</t>
  </si>
  <si>
    <t xml:space="preserve">After Hours - Public Works Department </t>
  </si>
  <si>
    <t>9.0%
1.4%
$300
$150/hr</t>
  </si>
  <si>
    <t>$4,712
$163</t>
  </si>
  <si>
    <r>
      <t>Encroachment Permits</t>
    </r>
    <r>
      <rPr>
        <vertAlign val="superscript"/>
        <sz val="12"/>
        <color theme="1"/>
        <rFont val="Calibri"/>
        <family val="2"/>
        <scheme val="minor"/>
      </rPr>
      <t>3</t>
    </r>
    <r>
      <rPr>
        <sz val="12"/>
        <color theme="1"/>
        <rFont val="Calibri"/>
        <family val="2"/>
        <scheme val="minor"/>
      </rPr>
      <t xml:space="preserve">
   Review, Major (Excavation, Utilities, Roadway</t>
    </r>
    <r>
      <rPr>
        <vertAlign val="superscript"/>
        <sz val="12"/>
        <color theme="1"/>
        <rFont val="Calibri"/>
        <family val="2"/>
        <scheme val="minor"/>
      </rPr>
      <t>4</t>
    </r>
    <r>
      <rPr>
        <sz val="12"/>
        <color theme="1"/>
        <rFont val="Calibri"/>
        <family val="2"/>
        <scheme val="minor"/>
      </rPr>
      <t xml:space="preserve"> Permit)             Plus Inspection 
   Review, Minor (Debrix Box, etc.)</t>
    </r>
  </si>
  <si>
    <t>$292
$72                  $150 per hour</t>
  </si>
  <si>
    <t>TBD
$150/hr</t>
  </si>
  <si>
    <t>TBD
$2,187
$300</t>
  </si>
  <si>
    <t>$729
$225</t>
  </si>
  <si>
    <t>$364
$150</t>
  </si>
  <si>
    <t>TBD
$300</t>
  </si>
  <si>
    <t>$300
$599</t>
  </si>
  <si>
    <t>$22/page
$15/page</t>
  </si>
  <si>
    <t>TBD
TBD
TBD</t>
  </si>
  <si>
    <t>$150/hr</t>
  </si>
  <si>
    <t xml:space="preserve">Meter Valve &amp; Control </t>
  </si>
  <si>
    <t>FY22/23</t>
  </si>
  <si>
    <t>Size</t>
  </si>
  <si>
    <t xml:space="preserve">Meter </t>
  </si>
  <si>
    <t>Endpoint</t>
  </si>
  <si>
    <t>Tax 9%</t>
  </si>
  <si>
    <t>Total Cost</t>
  </si>
  <si>
    <t>5/8</t>
  </si>
  <si>
    <t>3/4</t>
  </si>
  <si>
    <r>
      <t xml:space="preserve">Resolution No.  Adopted
1559-03            11/19/03
1561-03            11/19/03 2822-11            09/20/11                         </t>
    </r>
    <r>
      <rPr>
        <sz val="8"/>
        <color rgb="FFFF0000"/>
        <rFont val="Calibri"/>
        <family val="2"/>
        <scheme val="minor"/>
      </rPr>
      <t>xxxx-22        7/20/22</t>
    </r>
  </si>
  <si>
    <t>Lot Line Merger - Administrative</t>
  </si>
  <si>
    <t>$440/per application</t>
  </si>
  <si>
    <t>$131/per application</t>
  </si>
  <si>
    <r>
      <t xml:space="preserve">Senate Bill (SB) 9 - Lot Split Application Consultation                                  </t>
    </r>
    <r>
      <rPr>
        <b/>
        <u/>
        <sz val="12"/>
        <color theme="1"/>
        <rFont val="Calibri"/>
        <family val="2"/>
        <scheme val="minor"/>
      </rPr>
      <t>Plus</t>
    </r>
    <r>
      <rPr>
        <sz val="12"/>
        <color theme="1"/>
        <rFont val="Calibri"/>
        <family val="2"/>
        <scheme val="minor"/>
      </rPr>
      <t xml:space="preserve"> Administration</t>
    </r>
  </si>
  <si>
    <t>TBD            $300/per request</t>
  </si>
  <si>
    <t xml:space="preserve">      (1) Based on valuation and Fiscal Year 22-23 permit fee schedule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</si>
</sst>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5" formatCode="&quot;$&quot;#,##0_);\(&quot;$&quot;#,##0\)"/>
    <numFmt numFmtId="6" formatCode="&quot;$&quot;#,##0_);[Red]\(&quot;$&quot;#,##0\)"/>
    <numFmt numFmtId="8" formatCode="&quot;$&quot;#,##0.00_);[Red]\(&quot;$&quot;#,##0.0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quot;$&quot;#,##0"/>
    <numFmt numFmtId="165" formatCode="_(&quot;$&quot;* #,##0_);_(&quot;$&quot;* \(#,##0\);_(&quot;$&quot;* &quot;-&quot;??_);_(@_)"/>
    <numFmt numFmtId="166" formatCode="_(* #,##0_);_(* \(#,##0\);_(* &quot;-&quot;??_);_(@_)"/>
    <numFmt numFmtId="167" formatCode="&quot;$&quot;#,##0.00"/>
    <numFmt numFmtId="168" formatCode="_(* #,##0.00_);_(* \(#,##0.00\);_(* &quot;-&quot;_);_(@_)"/>
    <numFmt numFmtId="169" formatCode="0.0%"/>
  </numFmts>
  <fonts count="66">
    <font>
      <sz val="10"/>
      <name val="Times New Roman"/>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Times New Roman"/>
      <family val="1"/>
    </font>
    <font>
      <sz val="11"/>
      <color rgb="FFFF0000"/>
      <name val="Calibri"/>
      <family val="2"/>
      <scheme val="minor"/>
    </font>
    <font>
      <sz val="10"/>
      <name val="Arial"/>
      <family val="2"/>
    </font>
    <font>
      <b/>
      <sz val="10"/>
      <name val="Arial"/>
      <family val="2"/>
    </font>
    <font>
      <sz val="10"/>
      <name val="Swis721 LtCn BT"/>
      <family val="2"/>
    </font>
    <font>
      <sz val="10"/>
      <name val="Swis721 BlkCn BT"/>
      <family val="2"/>
    </font>
    <font>
      <sz val="8"/>
      <color theme="1"/>
      <name val="Calibri"/>
      <family val="2"/>
      <scheme val="minor"/>
    </font>
    <font>
      <sz val="10"/>
      <color theme="1"/>
      <name val="Calibri"/>
      <family val="2"/>
      <scheme val="minor"/>
    </font>
    <font>
      <sz val="20"/>
      <color theme="0"/>
      <name val="Calibri"/>
      <family val="2"/>
      <scheme val="minor"/>
    </font>
    <font>
      <sz val="10"/>
      <name val="Calibri"/>
      <family val="2"/>
      <scheme val="minor"/>
    </font>
    <font>
      <sz val="12"/>
      <name val="Calibri"/>
      <family val="2"/>
      <scheme val="minor"/>
    </font>
    <font>
      <b/>
      <sz val="12"/>
      <name val="Calibri"/>
      <family val="2"/>
      <scheme val="minor"/>
    </font>
    <font>
      <sz val="10"/>
      <color rgb="FFFF0000"/>
      <name val="Calibri"/>
      <family val="2"/>
      <scheme val="minor"/>
    </font>
    <font>
      <sz val="12"/>
      <color rgb="FFFF0000"/>
      <name val="Calibri"/>
      <family val="2"/>
      <scheme val="minor"/>
    </font>
    <font>
      <sz val="11"/>
      <name val="Calibri"/>
      <family val="2"/>
      <scheme val="minor"/>
    </font>
    <font>
      <sz val="20"/>
      <name val="Calibri"/>
      <family val="2"/>
      <scheme val="minor"/>
    </font>
    <font>
      <b/>
      <sz val="14"/>
      <color theme="0"/>
      <name val="Calibri"/>
      <family val="2"/>
      <scheme val="minor"/>
    </font>
    <font>
      <u/>
      <sz val="12"/>
      <name val="Calibri"/>
      <family val="2"/>
      <scheme val="minor"/>
    </font>
    <font>
      <i/>
      <sz val="12"/>
      <name val="Calibri"/>
      <family val="2"/>
      <scheme val="minor"/>
    </font>
    <font>
      <b/>
      <sz val="12"/>
      <color theme="1"/>
      <name val="Calibri"/>
      <family val="2"/>
      <scheme val="minor"/>
    </font>
    <font>
      <b/>
      <sz val="10"/>
      <name val="Calibri"/>
      <family val="2"/>
      <scheme val="minor"/>
    </font>
    <font>
      <b/>
      <sz val="12"/>
      <color rgb="FFFF0000"/>
      <name val="Calibri"/>
      <family val="2"/>
      <scheme val="minor"/>
    </font>
    <font>
      <sz val="12"/>
      <color theme="1"/>
      <name val="Calibri"/>
      <family val="2"/>
      <scheme val="minor"/>
    </font>
    <font>
      <b/>
      <i/>
      <sz val="12"/>
      <name val="Calibri"/>
      <family val="2"/>
      <scheme val="minor"/>
    </font>
    <font>
      <sz val="12"/>
      <color indexed="10"/>
      <name val="Calibri"/>
      <family val="2"/>
      <scheme val="minor"/>
    </font>
    <font>
      <b/>
      <u/>
      <sz val="12"/>
      <color theme="1"/>
      <name val="Calibri"/>
      <family val="2"/>
      <scheme val="minor"/>
    </font>
    <font>
      <sz val="9"/>
      <name val="Calibri"/>
      <family val="2"/>
      <scheme val="minor"/>
    </font>
    <font>
      <u val="doubleAccounting"/>
      <sz val="12"/>
      <name val="Calibri"/>
      <family val="2"/>
      <scheme val="minor"/>
    </font>
    <font>
      <b/>
      <sz val="8"/>
      <color theme="1"/>
      <name val="Calibri"/>
      <family val="2"/>
      <scheme val="minor"/>
    </font>
    <font>
      <sz val="10"/>
      <name val="Times New Roman"/>
    </font>
    <font>
      <sz val="16"/>
      <color theme="0"/>
      <name val="Arial"/>
      <family val="2"/>
    </font>
    <font>
      <sz val="16"/>
      <color theme="0"/>
      <name val="Calibri"/>
      <family val="2"/>
      <scheme val="minor"/>
    </font>
    <font>
      <vertAlign val="superscript"/>
      <sz val="12"/>
      <color theme="1"/>
      <name val="Calibri"/>
      <family val="2"/>
      <scheme val="minor"/>
    </font>
    <font>
      <u/>
      <sz val="12"/>
      <color theme="1"/>
      <name val="Calibri"/>
      <family val="2"/>
      <scheme val="minor"/>
    </font>
    <font>
      <sz val="12"/>
      <color theme="0"/>
      <name val="Calibri"/>
      <family val="2"/>
      <scheme val="minor"/>
    </font>
    <font>
      <b/>
      <sz val="12"/>
      <color theme="0"/>
      <name val="Calibri"/>
      <family val="2"/>
      <scheme val="minor"/>
    </font>
    <font>
      <sz val="14"/>
      <color theme="0"/>
      <name val="Calibri"/>
      <family val="2"/>
      <scheme val="minor"/>
    </font>
    <font>
      <sz val="8"/>
      <color theme="0"/>
      <name val="Calibri"/>
      <family val="2"/>
      <scheme val="minor"/>
    </font>
    <font>
      <sz val="10"/>
      <name val="Arial"/>
    </font>
    <font>
      <b/>
      <sz val="12"/>
      <name val="Arial"/>
      <family val="2"/>
    </font>
    <font>
      <b/>
      <u/>
      <sz val="10"/>
      <name val="Arial"/>
      <family val="2"/>
    </font>
    <font>
      <u/>
      <sz val="10"/>
      <name val="Arial"/>
      <family val="2"/>
    </font>
    <font>
      <sz val="10"/>
      <color rgb="FFFF0000"/>
      <name val="Arial"/>
      <family val="2"/>
    </font>
    <font>
      <sz val="10"/>
      <color rgb="FF0070C0"/>
      <name val="Arial"/>
      <family val="2"/>
    </font>
    <font>
      <b/>
      <sz val="10"/>
      <color rgb="FF0070C0"/>
      <name val="Arial"/>
      <family val="2"/>
    </font>
    <font>
      <i/>
      <sz val="10"/>
      <name val="Arial"/>
      <family val="2"/>
    </font>
    <font>
      <b/>
      <i/>
      <sz val="10"/>
      <name val="Arial"/>
      <family val="2"/>
    </font>
    <font>
      <u val="singleAccounting"/>
      <sz val="10"/>
      <name val="Arial"/>
      <family val="2"/>
    </font>
    <font>
      <i/>
      <sz val="10"/>
      <name val="Calibri"/>
      <family val="2"/>
      <scheme val="minor"/>
    </font>
    <font>
      <b/>
      <sz val="9"/>
      <color indexed="8"/>
      <name val="Arial"/>
      <family val="2"/>
    </font>
    <font>
      <sz val="9"/>
      <color indexed="8"/>
      <name val="Arial"/>
      <family val="2"/>
    </font>
    <font>
      <b/>
      <sz val="14"/>
      <color indexed="8"/>
      <name val="Arial"/>
      <family val="2"/>
    </font>
    <font>
      <sz val="10"/>
      <color indexed="8"/>
      <name val="Arial"/>
      <family val="2"/>
    </font>
    <font>
      <b/>
      <sz val="9"/>
      <color indexed="81"/>
      <name val="Tahoma"/>
      <family val="2"/>
    </font>
    <font>
      <sz val="9"/>
      <color indexed="81"/>
      <name val="Tahoma"/>
      <family val="2"/>
    </font>
    <font>
      <b/>
      <sz val="9"/>
      <color indexed="81"/>
      <name val="Tahoma"/>
      <charset val="1"/>
    </font>
    <font>
      <sz val="9"/>
      <color indexed="81"/>
      <name val="Tahoma"/>
      <charset val="1"/>
    </font>
    <font>
      <sz val="9"/>
      <name val="Arial"/>
      <family val="2"/>
    </font>
    <font>
      <sz val="12"/>
      <color theme="3"/>
      <name val="Calibri"/>
      <family val="2"/>
      <scheme val="minor"/>
    </font>
    <font>
      <sz val="8"/>
      <color rgb="FFFF0000"/>
      <name val="Calibri"/>
      <family val="2"/>
      <scheme val="minor"/>
    </font>
  </fonts>
  <fills count="16">
    <fill>
      <patternFill patternType="none"/>
    </fill>
    <fill>
      <patternFill patternType="gray125"/>
    </fill>
    <fill>
      <patternFill patternType="solid">
        <fgColor theme="0"/>
        <bgColor indexed="64"/>
      </patternFill>
    </fill>
    <fill>
      <patternFill patternType="solid">
        <fgColor rgb="FFFF0000"/>
        <bgColor indexed="64"/>
      </patternFill>
    </fill>
    <fill>
      <patternFill patternType="solid">
        <fgColor theme="2"/>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3"/>
        <bgColor indexed="64"/>
      </patternFill>
    </fill>
    <fill>
      <patternFill patternType="solid">
        <fgColor theme="5" tint="0.59999389629810485"/>
        <bgColor indexed="65"/>
      </patternFill>
    </fill>
    <fill>
      <patternFill patternType="solid">
        <fgColor theme="3" tint="0.79998168889431442"/>
        <bgColor indexed="64"/>
      </patternFill>
    </fill>
    <fill>
      <patternFill patternType="solid">
        <fgColor rgb="FFFFFF00"/>
        <bgColor indexed="64"/>
      </patternFill>
    </fill>
    <fill>
      <patternFill patternType="solid">
        <fgColor theme="0" tint="-0.14999847407452621"/>
        <bgColor indexed="64"/>
      </patternFill>
    </fill>
    <fill>
      <patternFill patternType="solid">
        <fgColor indexed="22"/>
        <bgColor indexed="64"/>
      </patternFill>
    </fill>
    <fill>
      <patternFill patternType="solid">
        <fgColor theme="1" tint="0.499984740745262"/>
        <bgColor indexed="64"/>
      </patternFill>
    </fill>
    <fill>
      <patternFill patternType="solid">
        <fgColor theme="1"/>
        <bgColor indexed="64"/>
      </patternFill>
    </fill>
    <fill>
      <patternFill patternType="solid">
        <fgColor theme="9" tint="0.79998168889431442"/>
        <bgColor indexed="64"/>
      </patternFill>
    </fill>
  </fills>
  <borders count="78">
    <border>
      <left/>
      <right/>
      <top/>
      <bottom/>
      <diagonal/>
    </border>
    <border>
      <left style="double">
        <color indexed="64"/>
      </left>
      <right style="double">
        <color indexed="64"/>
      </right>
      <top style="double">
        <color indexed="64"/>
      </top>
      <bottom style="double">
        <color indexed="64"/>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double">
        <color indexed="64"/>
      </top>
      <bottom style="double">
        <color indexed="64"/>
      </bottom>
      <diagonal/>
    </border>
    <border>
      <left style="double">
        <color indexed="64"/>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top style="double">
        <color indexed="64"/>
      </top>
      <bottom style="double">
        <color indexed="64"/>
      </bottom>
      <diagonal/>
    </border>
    <border>
      <left/>
      <right/>
      <top style="thin">
        <color indexed="64"/>
      </top>
      <bottom style="double">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double">
        <color indexed="64"/>
      </bottom>
      <diagonal/>
    </border>
    <border>
      <left style="double">
        <color indexed="64"/>
      </left>
      <right style="double">
        <color indexed="64"/>
      </right>
      <top style="double">
        <color indexed="64"/>
      </top>
      <bottom/>
      <diagonal/>
    </border>
    <border>
      <left/>
      <right style="double">
        <color indexed="64"/>
      </right>
      <top style="double">
        <color indexed="64"/>
      </top>
      <bottom/>
      <diagonal/>
    </border>
    <border>
      <left style="thin">
        <color indexed="64"/>
      </left>
      <right style="thin">
        <color indexed="64"/>
      </right>
      <top style="thin">
        <color indexed="64"/>
      </top>
      <bottom style="thin">
        <color indexed="64"/>
      </bottom>
      <diagonal/>
    </border>
    <border>
      <left/>
      <right/>
      <top style="double">
        <color indexed="64"/>
      </top>
      <bottom/>
      <diagonal/>
    </border>
    <border>
      <left style="double">
        <color indexed="64"/>
      </left>
      <right/>
      <top/>
      <bottom style="double">
        <color indexed="64"/>
      </bottom>
      <diagonal/>
    </border>
    <border>
      <left/>
      <right style="double">
        <color indexed="64"/>
      </right>
      <top/>
      <bottom style="double">
        <color indexed="64"/>
      </bottom>
      <diagonal/>
    </border>
    <border>
      <left style="thin">
        <color indexed="64"/>
      </left>
      <right style="thin">
        <color indexed="64"/>
      </right>
      <top style="thin">
        <color indexed="64"/>
      </top>
      <bottom style="double">
        <color indexed="64"/>
      </bottom>
      <diagonal/>
    </border>
    <border>
      <left style="double">
        <color indexed="64"/>
      </left>
      <right style="double">
        <color indexed="64"/>
      </right>
      <top/>
      <bottom style="double">
        <color indexed="64"/>
      </bottom>
      <diagonal/>
    </border>
    <border>
      <left/>
      <right style="thin">
        <color indexed="64"/>
      </right>
      <top/>
      <bottom style="double">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medium">
        <color indexed="64"/>
      </left>
      <right/>
      <top style="medium">
        <color indexed="64"/>
      </top>
      <bottom style="medium">
        <color indexed="64"/>
      </bottom>
      <diagonal/>
    </border>
    <border>
      <left style="thin">
        <color indexed="64"/>
      </left>
      <right/>
      <top/>
      <bottom style="double">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diagonal/>
    </border>
    <border>
      <left/>
      <right/>
      <top style="medium">
        <color indexed="64"/>
      </top>
      <bottom/>
      <diagonal/>
    </border>
    <border>
      <left style="thin">
        <color indexed="64"/>
      </left>
      <right/>
      <top/>
      <bottom style="medium">
        <color indexed="64"/>
      </bottom>
      <diagonal/>
    </border>
    <border>
      <left/>
      <right/>
      <top/>
      <bottom style="medium">
        <color indexed="64"/>
      </bottom>
      <diagonal/>
    </border>
    <border>
      <left style="medium">
        <color indexed="64"/>
      </left>
      <right/>
      <top/>
      <bottom/>
      <diagonal/>
    </border>
    <border>
      <left/>
      <right style="thin">
        <color indexed="64"/>
      </right>
      <top style="medium">
        <color indexed="64"/>
      </top>
      <bottom/>
      <diagonal/>
    </border>
    <border>
      <left style="thin">
        <color indexed="64"/>
      </left>
      <right style="thin">
        <color indexed="64"/>
      </right>
      <top/>
      <bottom style="double">
        <color indexed="64"/>
      </bottom>
      <diagonal/>
    </border>
    <border>
      <left style="thin">
        <color indexed="64"/>
      </left>
      <right style="thin">
        <color indexed="64"/>
      </right>
      <top style="double">
        <color indexed="64"/>
      </top>
      <bottom style="double">
        <color indexed="64"/>
      </bottom>
      <diagonal/>
    </border>
    <border>
      <left/>
      <right style="thin">
        <color indexed="64"/>
      </right>
      <top style="double">
        <color indexed="64"/>
      </top>
      <bottom style="double">
        <color indexed="64"/>
      </bottom>
      <diagonal/>
    </border>
    <border>
      <left/>
      <right style="medium">
        <color indexed="64"/>
      </right>
      <top/>
      <bottom/>
      <diagonal/>
    </border>
    <border>
      <left/>
      <right/>
      <top style="medium">
        <color indexed="64"/>
      </top>
      <bottom style="double">
        <color indexed="64"/>
      </bottom>
      <diagonal/>
    </border>
    <border>
      <left/>
      <right style="thin">
        <color indexed="64"/>
      </right>
      <top style="double">
        <color indexed="64"/>
      </top>
      <bottom/>
      <diagonal/>
    </border>
    <border>
      <left style="medium">
        <color indexed="64"/>
      </left>
      <right/>
      <top style="double">
        <color indexed="64"/>
      </top>
      <bottom/>
      <diagonal/>
    </border>
    <border>
      <left style="thin">
        <color indexed="64"/>
      </left>
      <right style="thin">
        <color indexed="64"/>
      </right>
      <top style="medium">
        <color indexed="64"/>
      </top>
      <bottom style="double">
        <color indexed="64"/>
      </bottom>
      <diagonal/>
    </border>
    <border>
      <left style="thin">
        <color indexed="64"/>
      </left>
      <right/>
      <top style="medium">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top style="double">
        <color indexed="64"/>
      </top>
      <bottom style="medium">
        <color indexed="64"/>
      </bottom>
      <diagonal/>
    </border>
    <border>
      <left style="double">
        <color indexed="64"/>
      </left>
      <right style="medium">
        <color indexed="64"/>
      </right>
      <top style="double">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diagonal/>
    </border>
    <border>
      <left style="medium">
        <color indexed="64"/>
      </left>
      <right style="medium">
        <color indexed="64"/>
      </right>
      <top style="medium">
        <color indexed="64"/>
      </top>
      <bottom style="thin">
        <color indexed="64"/>
      </bottom>
      <diagonal/>
    </border>
  </borders>
  <cellStyleXfs count="19">
    <xf numFmtId="0" fontId="0" fillId="0" borderId="0"/>
    <xf numFmtId="44" fontId="6" fillId="0" borderId="0" applyFont="0" applyFill="0" applyBorder="0" applyAlignment="0" applyProtection="0"/>
    <xf numFmtId="0" fontId="6" fillId="0" borderId="0"/>
    <xf numFmtId="0" fontId="5" fillId="0" borderId="0"/>
    <xf numFmtId="43" fontId="5" fillId="0" borderId="0" applyFont="0" applyFill="0" applyBorder="0" applyAlignment="0" applyProtection="0"/>
    <xf numFmtId="44" fontId="5" fillId="0" borderId="0" applyFont="0" applyFill="0" applyBorder="0" applyAlignment="0" applyProtection="0"/>
    <xf numFmtId="43" fontId="6" fillId="0" borderId="0" applyFont="0" applyFill="0" applyBorder="0" applyAlignment="0" applyProtection="0"/>
    <xf numFmtId="0" fontId="4" fillId="0" borderId="0"/>
    <xf numFmtId="43" fontId="35" fillId="0" borderId="0" applyFont="0" applyFill="0" applyBorder="0" applyAlignment="0" applyProtection="0"/>
    <xf numFmtId="0" fontId="44" fillId="0" borderId="0"/>
    <xf numFmtId="43" fontId="8" fillId="0" borderId="0" applyFont="0" applyFill="0" applyBorder="0" applyAlignment="0" applyProtection="0"/>
    <xf numFmtId="44" fontId="8" fillId="0" borderId="0" applyFont="0" applyFill="0" applyBorder="0" applyAlignment="0" applyProtection="0"/>
    <xf numFmtId="0" fontId="3" fillId="0" borderId="0"/>
    <xf numFmtId="44"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0" fontId="2" fillId="0" borderId="0"/>
    <xf numFmtId="0" fontId="1" fillId="0" borderId="0"/>
    <xf numFmtId="0" fontId="1" fillId="8" borderId="0" applyNumberFormat="0" applyBorder="0" applyAlignment="0" applyProtection="0"/>
  </cellStyleXfs>
  <cellXfs count="928">
    <xf numFmtId="0" fontId="0" fillId="0" borderId="0" xfId="0"/>
    <xf numFmtId="0" fontId="0" fillId="0" borderId="0" xfId="0" applyProtection="1">
      <protection locked="0"/>
    </xf>
    <xf numFmtId="0" fontId="6" fillId="0" borderId="0" xfId="0" applyFont="1" applyProtection="1">
      <protection locked="0"/>
    </xf>
    <xf numFmtId="0" fontId="6" fillId="0" borderId="0" xfId="0" applyFont="1" applyAlignment="1" applyProtection="1">
      <alignment horizontal="center"/>
      <protection locked="0"/>
    </xf>
    <xf numFmtId="0" fontId="15" fillId="0" borderId="0" xfId="0" applyFont="1"/>
    <xf numFmtId="0" fontId="16" fillId="0" borderId="0" xfId="0" applyFont="1"/>
    <xf numFmtId="0" fontId="18" fillId="0" borderId="0" xfId="0" applyFont="1"/>
    <xf numFmtId="0" fontId="17" fillId="2" borderId="0" xfId="2" applyFont="1" applyFill="1" applyBorder="1" applyAlignment="1">
      <alignment vertical="top"/>
    </xf>
    <xf numFmtId="0" fontId="17" fillId="2" borderId="49" xfId="2" applyFont="1" applyFill="1" applyBorder="1" applyAlignment="1">
      <alignment vertical="top"/>
    </xf>
    <xf numFmtId="0" fontId="17" fillId="2" borderId="43" xfId="2" applyFont="1" applyFill="1" applyBorder="1" applyAlignment="1">
      <alignment vertical="top"/>
    </xf>
    <xf numFmtId="0" fontId="17" fillId="2" borderId="37" xfId="2" applyFont="1" applyFill="1" applyBorder="1" applyAlignment="1">
      <alignment vertical="top"/>
    </xf>
    <xf numFmtId="0" fontId="16" fillId="0" borderId="16" xfId="0" applyFont="1" applyBorder="1" applyAlignment="1">
      <alignment horizontal="left"/>
    </xf>
    <xf numFmtId="0" fontId="16" fillId="0" borderId="24" xfId="2" applyFont="1" applyBorder="1" applyAlignment="1">
      <alignment horizontal="center" vertical="top"/>
    </xf>
    <xf numFmtId="0" fontId="16" fillId="0" borderId="1" xfId="2" applyFont="1" applyBorder="1" applyAlignment="1">
      <alignment horizontal="center" vertical="top"/>
    </xf>
    <xf numFmtId="164" fontId="16" fillId="0" borderId="24" xfId="2" applyNumberFormat="1" applyFont="1" applyBorder="1" applyAlignment="1">
      <alignment horizontal="center" vertical="top"/>
    </xf>
    <xf numFmtId="0" fontId="16" fillId="0" borderId="3" xfId="2" applyFont="1" applyFill="1" applyBorder="1" applyAlignment="1">
      <alignment horizontal="left" vertical="top"/>
    </xf>
    <xf numFmtId="0" fontId="16" fillId="0" borderId="0" xfId="2" applyFont="1" applyFill="1" applyAlignment="1">
      <alignment horizontal="center" vertical="top"/>
    </xf>
    <xf numFmtId="0" fontId="16" fillId="6" borderId="19" xfId="2" applyFont="1" applyFill="1" applyBorder="1" applyAlignment="1">
      <alignment horizontal="center" vertical="top"/>
    </xf>
    <xf numFmtId="0" fontId="16" fillId="6" borderId="23" xfId="2" applyFont="1" applyFill="1" applyBorder="1" applyAlignment="1">
      <alignment horizontal="center" vertical="top"/>
    </xf>
    <xf numFmtId="0" fontId="16" fillId="6" borderId="27" xfId="2" applyFont="1" applyFill="1" applyBorder="1" applyAlignment="1">
      <alignment horizontal="center" vertical="top"/>
    </xf>
    <xf numFmtId="0" fontId="16" fillId="0" borderId="16" xfId="2" applyFont="1" applyFill="1" applyBorder="1" applyAlignment="1">
      <alignment horizontal="center" vertical="top"/>
    </xf>
    <xf numFmtId="164" fontId="16" fillId="6" borderId="19" xfId="2" applyNumberFormat="1" applyFont="1" applyFill="1" applyBorder="1" applyAlignment="1">
      <alignment vertical="top"/>
    </xf>
    <xf numFmtId="164" fontId="16" fillId="6" borderId="27" xfId="2" applyNumberFormat="1" applyFont="1" applyFill="1" applyBorder="1" applyAlignment="1">
      <alignment vertical="top"/>
    </xf>
    <xf numFmtId="0" fontId="16" fillId="0" borderId="31" xfId="2" applyFont="1" applyFill="1" applyBorder="1" applyAlignment="1">
      <alignment horizontal="left" vertical="top"/>
    </xf>
    <xf numFmtId="0" fontId="15" fillId="0" borderId="0" xfId="0" quotePrefix="1" applyFont="1"/>
    <xf numFmtId="164" fontId="16" fillId="6" borderId="23" xfId="2" applyNumberFormat="1" applyFont="1" applyFill="1" applyBorder="1" applyAlignment="1">
      <alignment vertical="top"/>
    </xf>
    <xf numFmtId="164" fontId="17" fillId="0" borderId="22" xfId="2" applyNumberFormat="1" applyFont="1" applyBorder="1" applyAlignment="1">
      <alignment vertical="center"/>
    </xf>
    <xf numFmtId="0" fontId="33" fillId="0" borderId="0" xfId="2" applyFont="1" applyAlignment="1">
      <alignment horizontal="center" vertical="center"/>
    </xf>
    <xf numFmtId="0" fontId="33" fillId="0" borderId="0" xfId="2" applyFont="1" applyAlignment="1">
      <alignment vertical="center"/>
    </xf>
    <xf numFmtId="0" fontId="16" fillId="0" borderId="0" xfId="2" applyFont="1" applyAlignment="1">
      <alignment horizontal="right" vertical="center"/>
    </xf>
    <xf numFmtId="164" fontId="16" fillId="0" borderId="0" xfId="2" applyNumberFormat="1" applyFont="1" applyAlignment="1">
      <alignment vertical="center"/>
    </xf>
    <xf numFmtId="0" fontId="15" fillId="5" borderId="0" xfId="0" applyFont="1" applyFill="1" applyBorder="1" applyAlignment="1">
      <alignment horizontal="left" vertical="center"/>
    </xf>
    <xf numFmtId="0" fontId="15" fillId="0" borderId="0" xfId="0" applyFont="1" applyAlignment="1">
      <alignment wrapText="1"/>
    </xf>
    <xf numFmtId="0" fontId="15" fillId="0" borderId="0" xfId="0" applyFont="1" applyAlignment="1">
      <alignment horizontal="center"/>
    </xf>
    <xf numFmtId="0" fontId="15" fillId="0" borderId="8" xfId="0" applyFont="1" applyBorder="1"/>
    <xf numFmtId="0" fontId="15" fillId="0" borderId="2" xfId="0" applyFont="1" applyBorder="1"/>
    <xf numFmtId="0" fontId="15" fillId="0" borderId="3" xfId="0" applyFont="1" applyBorder="1"/>
    <xf numFmtId="165" fontId="15" fillId="0" borderId="4" xfId="1" applyNumberFormat="1" applyFont="1" applyBorder="1"/>
    <xf numFmtId="0" fontId="15" fillId="0" borderId="5" xfId="0" applyFont="1" applyBorder="1"/>
    <xf numFmtId="165" fontId="15" fillId="0" borderId="7" xfId="1" applyNumberFormat="1" applyFont="1" applyBorder="1"/>
    <xf numFmtId="0" fontId="21" fillId="0" borderId="0" xfId="0" applyFont="1" applyProtection="1">
      <protection locked="0"/>
    </xf>
    <xf numFmtId="0" fontId="21" fillId="0" borderId="0" xfId="0" applyFont="1" applyFill="1" applyProtection="1">
      <protection locked="0"/>
    </xf>
    <xf numFmtId="0" fontId="16" fillId="0" borderId="0" xfId="0" applyFont="1" applyProtection="1">
      <protection locked="0"/>
    </xf>
    <xf numFmtId="0" fontId="17" fillId="4" borderId="27" xfId="0" applyFont="1" applyFill="1" applyBorder="1" applyAlignment="1" applyProtection="1">
      <alignment wrapText="1"/>
      <protection locked="0"/>
    </xf>
    <xf numFmtId="0" fontId="17" fillId="4" borderId="19" xfId="0" applyFont="1" applyFill="1" applyBorder="1" applyAlignment="1" applyProtection="1">
      <protection locked="0"/>
    </xf>
    <xf numFmtId="0" fontId="17" fillId="4" borderId="26" xfId="0" applyFont="1" applyFill="1" applyBorder="1" applyAlignment="1" applyProtection="1">
      <alignment horizontal="left"/>
      <protection locked="0"/>
    </xf>
    <xf numFmtId="166" fontId="16" fillId="4" borderId="27" xfId="8" applyNumberFormat="1" applyFont="1" applyFill="1" applyBorder="1" applyAlignment="1" applyProtection="1">
      <alignment horizontal="center"/>
      <protection locked="0"/>
    </xf>
    <xf numFmtId="166" fontId="16" fillId="4" borderId="19" xfId="8" applyNumberFormat="1" applyFont="1" applyFill="1" applyBorder="1" applyAlignment="1" applyProtection="1">
      <alignment horizontal="center"/>
      <protection locked="0"/>
    </xf>
    <xf numFmtId="0" fontId="16" fillId="0" borderId="0" xfId="0" applyFont="1" applyFill="1" applyProtection="1">
      <protection locked="0"/>
    </xf>
    <xf numFmtId="166" fontId="16" fillId="4" borderId="26" xfId="8" applyNumberFormat="1" applyFont="1" applyFill="1" applyBorder="1" applyAlignment="1" applyProtection="1">
      <alignment horizontal="center"/>
      <protection locked="0"/>
    </xf>
    <xf numFmtId="166" fontId="16" fillId="4" borderId="38" xfId="8" applyNumberFormat="1" applyFont="1" applyFill="1" applyBorder="1" applyAlignment="1" applyProtection="1">
      <alignment horizontal="center"/>
      <protection locked="0"/>
    </xf>
    <xf numFmtId="166" fontId="16" fillId="4" borderId="39" xfId="8" applyNumberFormat="1" applyFont="1" applyFill="1" applyBorder="1" applyAlignment="1" applyProtection="1">
      <alignment horizontal="center"/>
      <protection locked="0"/>
    </xf>
    <xf numFmtId="49" fontId="16" fillId="4" borderId="27" xfId="0" applyNumberFormat="1" applyFont="1" applyFill="1" applyBorder="1" applyAlignment="1" applyProtection="1">
      <alignment horizontal="center"/>
      <protection locked="0"/>
    </xf>
    <xf numFmtId="49" fontId="16" fillId="4" borderId="19" xfId="0" applyNumberFormat="1" applyFont="1" applyFill="1" applyBorder="1" applyAlignment="1" applyProtection="1">
      <alignment horizontal="center"/>
      <protection locked="0"/>
    </xf>
    <xf numFmtId="49" fontId="16" fillId="4" borderId="26" xfId="0" applyNumberFormat="1" applyFont="1" applyFill="1" applyBorder="1" applyAlignment="1" applyProtection="1">
      <alignment horizontal="center"/>
      <protection locked="0"/>
    </xf>
    <xf numFmtId="49" fontId="16" fillId="4" borderId="27" xfId="0" applyNumberFormat="1" applyFont="1" applyFill="1" applyBorder="1" applyAlignment="1" applyProtection="1">
      <alignment horizontal="center" vertical="center"/>
      <protection locked="0"/>
    </xf>
    <xf numFmtId="49" fontId="16" fillId="4" borderId="19" xfId="0" applyNumberFormat="1" applyFont="1" applyFill="1" applyBorder="1" applyAlignment="1" applyProtection="1">
      <alignment horizontal="center" vertical="center"/>
      <protection locked="0"/>
    </xf>
    <xf numFmtId="49" fontId="16" fillId="4" borderId="26" xfId="0" applyNumberFormat="1" applyFont="1" applyFill="1" applyBorder="1" applyAlignment="1" applyProtection="1">
      <alignment horizontal="center" vertical="center"/>
      <protection locked="0"/>
    </xf>
    <xf numFmtId="49" fontId="23" fillId="4" borderId="19" xfId="0" applyNumberFormat="1" applyFont="1" applyFill="1" applyBorder="1" applyAlignment="1" applyProtection="1">
      <alignment horizontal="center" vertical="center"/>
      <protection locked="0"/>
    </xf>
    <xf numFmtId="0" fontId="16" fillId="4" borderId="19" xfId="0" applyFont="1" applyFill="1" applyBorder="1" applyAlignment="1" applyProtection="1">
      <alignment horizontal="center" vertical="center"/>
      <protection locked="0"/>
    </xf>
    <xf numFmtId="0" fontId="16" fillId="4" borderId="26" xfId="0" applyFont="1" applyFill="1" applyBorder="1" applyAlignment="1" applyProtection="1">
      <alignment horizontal="center" vertical="center"/>
      <protection locked="0"/>
    </xf>
    <xf numFmtId="0" fontId="16" fillId="4" borderId="27" xfId="0" applyFont="1" applyFill="1" applyBorder="1" applyAlignment="1" applyProtection="1">
      <alignment horizontal="center"/>
      <protection locked="0"/>
    </xf>
    <xf numFmtId="0" fontId="16" fillId="4" borderId="19" xfId="0" applyFont="1" applyFill="1" applyBorder="1" applyAlignment="1" applyProtection="1">
      <alignment horizontal="center"/>
      <protection locked="0"/>
    </xf>
    <xf numFmtId="0" fontId="19" fillId="0" borderId="0" xfId="0" applyFont="1" applyAlignment="1" applyProtection="1">
      <alignment horizontal="center"/>
      <protection locked="0"/>
    </xf>
    <xf numFmtId="0" fontId="15" fillId="0" borderId="0" xfId="0" applyFont="1" applyFill="1" applyBorder="1" applyAlignment="1" applyProtection="1">
      <alignment wrapText="1"/>
      <protection locked="0"/>
    </xf>
    <xf numFmtId="0" fontId="15" fillId="0" borderId="0" xfId="0" applyFont="1" applyFill="1" applyBorder="1" applyProtection="1">
      <protection locked="0"/>
    </xf>
    <xf numFmtId="0" fontId="16" fillId="0" borderId="0" xfId="2" applyFont="1" applyAlignment="1" applyProtection="1">
      <alignment vertical="center"/>
      <protection locked="0"/>
    </xf>
    <xf numFmtId="0" fontId="16" fillId="0" borderId="0" xfId="0" applyFont="1" applyBorder="1" applyProtection="1">
      <protection locked="0"/>
    </xf>
    <xf numFmtId="164" fontId="16" fillId="0" borderId="0" xfId="0" applyNumberFormat="1" applyFont="1" applyProtection="1">
      <protection locked="0"/>
    </xf>
    <xf numFmtId="0" fontId="15" fillId="0" borderId="0" xfId="0" applyFont="1" applyProtection="1">
      <protection locked="0"/>
    </xf>
    <xf numFmtId="0" fontId="26" fillId="0" borderId="0" xfId="0" applyFont="1" applyProtection="1">
      <protection locked="0"/>
    </xf>
    <xf numFmtId="14" fontId="16" fillId="0" borderId="0" xfId="0" applyNumberFormat="1" applyFont="1" applyBorder="1" applyProtection="1">
      <protection locked="0"/>
    </xf>
    <xf numFmtId="0" fontId="16" fillId="2" borderId="0" xfId="2" applyFont="1" applyFill="1" applyAlignment="1" applyProtection="1">
      <alignment vertical="top"/>
    </xf>
    <xf numFmtId="0" fontId="16" fillId="0" borderId="0" xfId="0" applyFont="1" applyBorder="1" applyAlignment="1" applyProtection="1">
      <alignment horizontal="right" vertical="center"/>
    </xf>
    <xf numFmtId="0" fontId="22" fillId="7" borderId="33" xfId="0" applyFont="1" applyFill="1" applyBorder="1" applyAlignment="1" applyProtection="1">
      <alignment horizontal="center"/>
    </xf>
    <xf numFmtId="0" fontId="16" fillId="0" borderId="0" xfId="0" applyFont="1" applyBorder="1" applyAlignment="1" applyProtection="1">
      <alignment vertical="center"/>
    </xf>
    <xf numFmtId="0" fontId="16" fillId="0" borderId="0" xfId="0" applyFont="1" applyBorder="1" applyAlignment="1" applyProtection="1">
      <alignment horizontal="left" vertical="center" wrapText="1"/>
    </xf>
    <xf numFmtId="0" fontId="16" fillId="2" borderId="0" xfId="2" applyFont="1" applyFill="1" applyAlignment="1" applyProtection="1">
      <alignment vertical="center"/>
    </xf>
    <xf numFmtId="0" fontId="16" fillId="2" borderId="0" xfId="2" applyFont="1" applyFill="1" applyAlignment="1" applyProtection="1">
      <alignment vertical="center" wrapText="1"/>
    </xf>
    <xf numFmtId="0" fontId="16" fillId="0" borderId="0" xfId="0" applyFont="1" applyBorder="1" applyAlignment="1" applyProtection="1">
      <alignment horizontal="left" vertical="center" indent="2"/>
    </xf>
    <xf numFmtId="0" fontId="16" fillId="2" borderId="0" xfId="2" applyFont="1" applyFill="1" applyAlignment="1" applyProtection="1">
      <alignment vertical="top" wrapText="1"/>
    </xf>
    <xf numFmtId="0" fontId="15" fillId="0" borderId="0" xfId="2" applyFont="1" applyAlignment="1" applyProtection="1">
      <alignment vertical="top"/>
      <protection locked="0"/>
    </xf>
    <xf numFmtId="0" fontId="26" fillId="0" borderId="0" xfId="2" applyFont="1" applyAlignment="1" applyProtection="1">
      <alignment vertical="top"/>
      <protection locked="0"/>
    </xf>
    <xf numFmtId="0" fontId="16" fillId="0" borderId="0" xfId="2" applyFont="1" applyAlignment="1" applyProtection="1">
      <alignment vertical="top"/>
      <protection locked="0"/>
    </xf>
    <xf numFmtId="0" fontId="17" fillId="0" borderId="0" xfId="2" applyFont="1" applyAlignment="1" applyProtection="1">
      <alignment vertical="top"/>
      <protection locked="0"/>
    </xf>
    <xf numFmtId="0" fontId="27" fillId="0" borderId="0" xfId="2" applyFont="1" applyAlignment="1" applyProtection="1">
      <alignment vertical="top"/>
      <protection locked="0"/>
    </xf>
    <xf numFmtId="0" fontId="16" fillId="0" borderId="0" xfId="2" applyFont="1" applyFill="1" applyAlignment="1" applyProtection="1">
      <alignment vertical="top"/>
      <protection locked="0"/>
    </xf>
    <xf numFmtId="0" fontId="15" fillId="0" borderId="0" xfId="2" applyFont="1" applyAlignment="1" applyProtection="1">
      <alignment horizontal="center" vertical="top"/>
      <protection locked="0"/>
    </xf>
    <xf numFmtId="164" fontId="15" fillId="0" borderId="0" xfId="2" applyNumberFormat="1" applyFont="1" applyAlignment="1" applyProtection="1">
      <alignment horizontal="center" vertical="top"/>
      <protection locked="0"/>
    </xf>
    <xf numFmtId="0" fontId="32" fillId="0" borderId="0" xfId="2" applyFont="1" applyAlignment="1" applyProtection="1">
      <alignment horizontal="center" vertical="top"/>
      <protection locked="0"/>
    </xf>
    <xf numFmtId="0" fontId="15" fillId="0" borderId="0" xfId="2" applyFont="1" applyAlignment="1" applyProtection="1">
      <alignment vertical="center"/>
      <protection locked="0"/>
    </xf>
    <xf numFmtId="0" fontId="16" fillId="0" borderId="34" xfId="0" applyFont="1" applyBorder="1" applyAlignment="1" applyProtection="1">
      <alignment horizontal="right"/>
    </xf>
    <xf numFmtId="0" fontId="16" fillId="0" borderId="44" xfId="0" applyFont="1" applyBorder="1" applyAlignment="1" applyProtection="1">
      <alignment horizontal="right"/>
    </xf>
    <xf numFmtId="0" fontId="17" fillId="2" borderId="0" xfId="2" applyFont="1" applyFill="1" applyBorder="1" applyAlignment="1" applyProtection="1">
      <alignment vertical="top"/>
    </xf>
    <xf numFmtId="0" fontId="17" fillId="2" borderId="49" xfId="2" applyFont="1" applyFill="1" applyBorder="1" applyAlignment="1" applyProtection="1">
      <alignment vertical="top"/>
    </xf>
    <xf numFmtId="0" fontId="17" fillId="6" borderId="44" xfId="2" applyFont="1" applyFill="1" applyBorder="1" applyAlignment="1" applyProtection="1">
      <alignment horizontal="left" vertical="center"/>
    </xf>
    <xf numFmtId="0" fontId="16" fillId="0" borderId="44" xfId="2" applyFont="1" applyBorder="1" applyAlignment="1" applyProtection="1">
      <alignment horizontal="right" vertical="center"/>
    </xf>
    <xf numFmtId="2" fontId="17" fillId="6" borderId="44" xfId="2" applyNumberFormat="1" applyFont="1" applyFill="1" applyBorder="1" applyAlignment="1" applyProtection="1">
      <alignment horizontal="left" vertical="center"/>
    </xf>
    <xf numFmtId="164" fontId="17" fillId="6" borderId="36" xfId="2" applyNumberFormat="1" applyFont="1" applyFill="1" applyBorder="1" applyAlignment="1" applyProtection="1">
      <alignment horizontal="left" vertical="center"/>
    </xf>
    <xf numFmtId="0" fontId="17" fillId="2" borderId="43" xfId="2" applyFont="1" applyFill="1" applyBorder="1" applyAlignment="1" applyProtection="1">
      <alignment horizontal="center" vertical="top"/>
    </xf>
    <xf numFmtId="0" fontId="17" fillId="2" borderId="43" xfId="2" applyFont="1" applyFill="1" applyBorder="1" applyAlignment="1" applyProtection="1">
      <alignment vertical="top"/>
    </xf>
    <xf numFmtId="0" fontId="17" fillId="2" borderId="37" xfId="2" applyFont="1" applyFill="1" applyBorder="1" applyAlignment="1" applyProtection="1">
      <alignment vertical="top"/>
    </xf>
    <xf numFmtId="0" fontId="17" fillId="0" borderId="36" xfId="2" applyFont="1" applyBorder="1" applyAlignment="1" applyProtection="1">
      <alignment horizontal="right" vertical="center"/>
    </xf>
    <xf numFmtId="0" fontId="17" fillId="0" borderId="43" xfId="2" applyFont="1" applyBorder="1" applyAlignment="1" applyProtection="1">
      <alignment horizontal="center" vertical="center"/>
    </xf>
    <xf numFmtId="0" fontId="16" fillId="0" borderId="50" xfId="2" applyFont="1" applyBorder="1" applyAlignment="1" applyProtection="1">
      <alignment horizontal="right" vertical="center"/>
    </xf>
    <xf numFmtId="164" fontId="19" fillId="0" borderId="50" xfId="2" applyNumberFormat="1" applyFont="1" applyFill="1" applyBorder="1" applyAlignment="1" applyProtection="1">
      <alignment horizontal="center" vertical="center"/>
    </xf>
    <xf numFmtId="0" fontId="16" fillId="0" borderId="50" xfId="2" applyFont="1" applyFill="1" applyBorder="1" applyAlignment="1" applyProtection="1">
      <alignment horizontal="right" vertical="center"/>
    </xf>
    <xf numFmtId="0" fontId="16" fillId="0" borderId="50" xfId="2" applyFont="1" applyFill="1" applyBorder="1" applyAlignment="1" applyProtection="1">
      <alignment horizontal="center" vertical="center"/>
    </xf>
    <xf numFmtId="0" fontId="16" fillId="0" borderId="0" xfId="2" applyFont="1" applyAlignment="1" applyProtection="1">
      <alignment vertical="center"/>
    </xf>
    <xf numFmtId="0" fontId="17" fillId="0" borderId="0" xfId="2" applyFont="1" applyAlignment="1" applyProtection="1">
      <alignment vertical="center"/>
    </xf>
    <xf numFmtId="0" fontId="16" fillId="0" borderId="3" xfId="2" applyFont="1" applyFill="1" applyBorder="1" applyAlignment="1" applyProtection="1">
      <alignment vertical="top"/>
    </xf>
    <xf numFmtId="164" fontId="16" fillId="0" borderId="0" xfId="2" applyNumberFormat="1" applyFont="1" applyFill="1" applyBorder="1" applyAlignment="1" applyProtection="1">
      <alignment horizontal="center" vertical="top"/>
    </xf>
    <xf numFmtId="0" fontId="16" fillId="0" borderId="4" xfId="2" applyFont="1" applyFill="1" applyBorder="1" applyAlignment="1" applyProtection="1">
      <alignment vertical="top"/>
    </xf>
    <xf numFmtId="0" fontId="16" fillId="0" borderId="0" xfId="2" applyFont="1" applyAlignment="1" applyProtection="1">
      <alignment vertical="top"/>
    </xf>
    <xf numFmtId="0" fontId="17" fillId="0" borderId="0" xfId="2" applyFont="1" applyAlignment="1" applyProtection="1">
      <alignment vertical="top"/>
    </xf>
    <xf numFmtId="0" fontId="16" fillId="0" borderId="1" xfId="2" applyFont="1" applyBorder="1" applyAlignment="1" applyProtection="1">
      <alignment horizontal="center" vertical="top"/>
    </xf>
    <xf numFmtId="164" fontId="16" fillId="0" borderId="1" xfId="2" applyNumberFormat="1" applyFont="1" applyBorder="1" applyAlignment="1" applyProtection="1">
      <alignment horizontal="center" vertical="top"/>
    </xf>
    <xf numFmtId="0" fontId="17" fillId="0" borderId="16" xfId="2" applyFont="1" applyBorder="1" applyAlignment="1" applyProtection="1">
      <alignment vertical="top"/>
    </xf>
    <xf numFmtId="0" fontId="16" fillId="0" borderId="3" xfId="2" applyFont="1" applyFill="1" applyBorder="1" applyAlignment="1" applyProtection="1">
      <alignment horizontal="right" vertical="top"/>
    </xf>
    <xf numFmtId="0" fontId="16" fillId="6" borderId="27" xfId="2" applyFont="1" applyFill="1" applyBorder="1" applyAlignment="1" applyProtection="1">
      <alignment horizontal="center" vertical="top"/>
    </xf>
    <xf numFmtId="164" fontId="16" fillId="0" borderId="0" xfId="2" applyNumberFormat="1" applyFont="1" applyFill="1" applyAlignment="1" applyProtection="1">
      <alignment horizontal="center" vertical="top"/>
    </xf>
    <xf numFmtId="0" fontId="27" fillId="0" borderId="0" xfId="2" applyFont="1" applyAlignment="1" applyProtection="1">
      <alignment vertical="top"/>
    </xf>
    <xf numFmtId="0" fontId="19" fillId="0" borderId="0" xfId="2" applyFont="1" applyAlignment="1" applyProtection="1">
      <alignment vertical="top"/>
    </xf>
    <xf numFmtId="0" fontId="16" fillId="0" borderId="31" xfId="2" applyFont="1" applyFill="1" applyBorder="1" applyAlignment="1" applyProtection="1">
      <alignment horizontal="right" vertical="top"/>
    </xf>
    <xf numFmtId="0" fontId="16" fillId="0" borderId="16" xfId="2" applyFont="1" applyFill="1" applyBorder="1" applyAlignment="1" applyProtection="1">
      <alignment horizontal="center" vertical="top"/>
    </xf>
    <xf numFmtId="164" fontId="16" fillId="0" borderId="16" xfId="2" applyNumberFormat="1" applyFont="1" applyFill="1" applyBorder="1" applyAlignment="1" applyProtection="1">
      <alignment horizontal="center" vertical="top"/>
    </xf>
    <xf numFmtId="164" fontId="29" fillId="6" borderId="23" xfId="2" applyNumberFormat="1" applyFont="1" applyFill="1" applyBorder="1" applyAlignment="1" applyProtection="1">
      <alignment vertical="top"/>
    </xf>
    <xf numFmtId="0" fontId="16" fillId="0" borderId="12" xfId="2" applyFont="1" applyFill="1" applyBorder="1" applyAlignment="1" applyProtection="1">
      <alignment vertical="top"/>
    </xf>
    <xf numFmtId="6" fontId="16" fillId="0" borderId="25" xfId="2" applyNumberFormat="1" applyFont="1" applyFill="1" applyBorder="1" applyAlignment="1" applyProtection="1">
      <alignment vertical="top"/>
    </xf>
    <xf numFmtId="0" fontId="16" fillId="0" borderId="0" xfId="2" applyFont="1" applyFill="1" applyAlignment="1" applyProtection="1">
      <alignment vertical="top"/>
    </xf>
    <xf numFmtId="0" fontId="17" fillId="0" borderId="0" xfId="2" applyFont="1" applyFill="1" applyAlignment="1" applyProtection="1">
      <alignment vertical="top"/>
    </xf>
    <xf numFmtId="0" fontId="16" fillId="0" borderId="60" xfId="2" applyFont="1" applyFill="1" applyBorder="1" applyAlignment="1" applyProtection="1">
      <alignment horizontal="right" vertical="top"/>
    </xf>
    <xf numFmtId="0" fontId="16" fillId="0" borderId="56" xfId="2" applyFont="1" applyFill="1" applyBorder="1" applyAlignment="1" applyProtection="1">
      <alignment horizontal="right" vertical="top"/>
    </xf>
    <xf numFmtId="6" fontId="29" fillId="6" borderId="19" xfId="2" applyNumberFormat="1" applyFont="1" applyFill="1" applyBorder="1" applyAlignment="1" applyProtection="1">
      <alignment horizontal="center" vertical="top"/>
    </xf>
    <xf numFmtId="0" fontId="16" fillId="0" borderId="4" xfId="2" applyFont="1" applyBorder="1" applyAlignment="1" applyProtection="1">
      <alignment vertical="top"/>
    </xf>
    <xf numFmtId="0" fontId="19" fillId="0" borderId="0" xfId="2" applyFont="1" applyFill="1" applyAlignment="1" applyProtection="1">
      <alignment vertical="top"/>
    </xf>
    <xf numFmtId="0" fontId="17" fillId="0" borderId="9" xfId="2" applyFont="1" applyFill="1" applyBorder="1" applyAlignment="1" applyProtection="1">
      <alignment vertical="center"/>
    </xf>
    <xf numFmtId="0" fontId="16" fillId="0" borderId="0" xfId="2" applyFont="1" applyBorder="1" applyAlignment="1" applyProtection="1">
      <alignment vertical="top"/>
    </xf>
    <xf numFmtId="5" fontId="16" fillId="6" borderId="19" xfId="2" applyNumberFormat="1" applyFont="1" applyFill="1" applyBorder="1" applyAlignment="1" applyProtection="1">
      <alignment horizontal="center" vertical="top"/>
    </xf>
    <xf numFmtId="0" fontId="23" fillId="0" borderId="3" xfId="2" applyFont="1" applyFill="1" applyBorder="1" applyAlignment="1" applyProtection="1">
      <alignment horizontal="right" vertical="center"/>
    </xf>
    <xf numFmtId="0" fontId="16" fillId="0" borderId="0" xfId="2" applyFont="1" applyFill="1" applyAlignment="1" applyProtection="1">
      <alignment vertical="center"/>
    </xf>
    <xf numFmtId="0" fontId="16" fillId="0" borderId="4" xfId="2" applyFont="1" applyFill="1" applyBorder="1" applyAlignment="1" applyProtection="1">
      <alignment vertical="center"/>
    </xf>
    <xf numFmtId="164" fontId="16" fillId="6" borderId="19" xfId="2" applyNumberFormat="1" applyFont="1" applyFill="1" applyBorder="1" applyAlignment="1" applyProtection="1">
      <alignment vertical="top"/>
    </xf>
    <xf numFmtId="164" fontId="16" fillId="6" borderId="26" xfId="2" applyNumberFormat="1" applyFont="1" applyFill="1" applyBorder="1" applyAlignment="1" applyProtection="1">
      <alignment vertical="top"/>
    </xf>
    <xf numFmtId="0" fontId="24" fillId="0" borderId="0" xfId="2" applyFont="1" applyFill="1" applyBorder="1" applyAlignment="1" applyProtection="1">
      <alignment horizontal="right" vertical="center" wrapText="1"/>
    </xf>
    <xf numFmtId="0" fontId="23" fillId="0" borderId="3" xfId="2" applyFont="1" applyFill="1" applyBorder="1" applyAlignment="1" applyProtection="1">
      <alignment vertical="top"/>
    </xf>
    <xf numFmtId="0" fontId="24" fillId="0" borderId="3" xfId="2" applyFont="1" applyFill="1" applyBorder="1" applyAlignment="1" applyProtection="1">
      <alignment vertical="top"/>
    </xf>
    <xf numFmtId="164" fontId="16" fillId="0" borderId="4" xfId="2" applyNumberFormat="1" applyFont="1" applyFill="1" applyBorder="1" applyAlignment="1" applyProtection="1">
      <alignment vertical="top"/>
    </xf>
    <xf numFmtId="0" fontId="17" fillId="0" borderId="9" xfId="2" applyFont="1" applyBorder="1" applyAlignment="1" applyProtection="1">
      <alignment vertical="top"/>
    </xf>
    <xf numFmtId="0" fontId="16" fillId="0" borderId="3" xfId="2" applyFont="1" applyFill="1" applyBorder="1" applyAlignment="1" applyProtection="1">
      <alignment horizontal="left"/>
    </xf>
    <xf numFmtId="0" fontId="24" fillId="0" borderId="0" xfId="2" applyFont="1" applyFill="1" applyBorder="1" applyAlignment="1" applyProtection="1">
      <alignment horizontal="right" vertical="top"/>
    </xf>
    <xf numFmtId="164" fontId="29" fillId="6" borderId="19" xfId="2" applyNumberFormat="1" applyFont="1" applyFill="1" applyBorder="1" applyAlignment="1" applyProtection="1">
      <alignment vertical="top"/>
    </xf>
    <xf numFmtId="164" fontId="28" fillId="0" borderId="0" xfId="2" applyNumberFormat="1" applyFont="1" applyFill="1" applyBorder="1" applyAlignment="1" applyProtection="1">
      <alignment horizontal="center" vertical="top"/>
    </xf>
    <xf numFmtId="0" fontId="28" fillId="0" borderId="0" xfId="2" applyFont="1" applyFill="1" applyBorder="1" applyAlignment="1" applyProtection="1">
      <alignment horizontal="center" vertical="top"/>
    </xf>
    <xf numFmtId="164" fontId="29" fillId="6" borderId="26" xfId="2" applyNumberFormat="1" applyFont="1" applyFill="1" applyBorder="1" applyAlignment="1" applyProtection="1">
      <alignment vertical="top"/>
    </xf>
    <xf numFmtId="0" fontId="28" fillId="0" borderId="16" xfId="2" applyFont="1" applyFill="1" applyBorder="1" applyAlignment="1" applyProtection="1">
      <alignment horizontal="center" vertical="top"/>
    </xf>
    <xf numFmtId="0" fontId="16" fillId="0" borderId="3" xfId="2" applyFont="1" applyFill="1" applyBorder="1" applyAlignment="1" applyProtection="1">
      <alignment horizontal="left" vertical="top"/>
    </xf>
    <xf numFmtId="0" fontId="16" fillId="0" borderId="0" xfId="2" applyFont="1" applyFill="1" applyBorder="1" applyAlignment="1" applyProtection="1">
      <alignment vertical="top"/>
    </xf>
    <xf numFmtId="9" fontId="17" fillId="2" borderId="0" xfId="2" applyNumberFormat="1" applyFont="1" applyFill="1" applyBorder="1" applyAlignment="1" applyProtection="1">
      <alignment vertical="top"/>
    </xf>
    <xf numFmtId="164" fontId="16" fillId="0" borderId="0" xfId="2" applyNumberFormat="1" applyFont="1" applyFill="1" applyAlignment="1" applyProtection="1">
      <alignment horizontal="center" vertical="top" wrapText="1"/>
    </xf>
    <xf numFmtId="164" fontId="16" fillId="6" borderId="27" xfId="2" applyNumberFormat="1" applyFont="1" applyFill="1" applyBorder="1" applyAlignment="1" applyProtection="1">
      <alignment vertical="top"/>
    </xf>
    <xf numFmtId="0" fontId="16" fillId="0" borderId="3" xfId="2" applyFont="1" applyFill="1" applyBorder="1" applyAlignment="1" applyProtection="1">
      <alignment horizontal="left" vertical="top" shrinkToFit="1"/>
    </xf>
    <xf numFmtId="2" fontId="16" fillId="0" borderId="0" xfId="2" applyNumberFormat="1" applyFont="1" applyFill="1" applyAlignment="1" applyProtection="1">
      <alignment horizontal="center" vertical="top"/>
    </xf>
    <xf numFmtId="0" fontId="30" fillId="0" borderId="0" xfId="2" applyFont="1" applyFill="1" applyAlignment="1" applyProtection="1">
      <alignment horizontal="center" vertical="top"/>
    </xf>
    <xf numFmtId="0" fontId="16" fillId="0" borderId="31" xfId="2" applyFont="1" applyFill="1" applyBorder="1" applyAlignment="1" applyProtection="1">
      <alignment horizontal="left" vertical="top"/>
    </xf>
    <xf numFmtId="2" fontId="16" fillId="0" borderId="16" xfId="2" applyNumberFormat="1" applyFont="1" applyFill="1" applyBorder="1" applyAlignment="1" applyProtection="1">
      <alignment horizontal="left" vertical="top"/>
    </xf>
    <xf numFmtId="0" fontId="25" fillId="0" borderId="3" xfId="2" applyFont="1" applyFill="1" applyBorder="1" applyAlignment="1" applyProtection="1">
      <alignment horizontal="left" vertical="top"/>
    </xf>
    <xf numFmtId="2" fontId="16" fillId="0" borderId="0" xfId="2" applyNumberFormat="1" applyFont="1" applyFill="1" applyBorder="1" applyAlignment="1" applyProtection="1">
      <alignment horizontal="left" vertical="top"/>
    </xf>
    <xf numFmtId="0" fontId="30" fillId="0" borderId="0" xfId="2" applyFont="1" applyFill="1" applyBorder="1" applyAlignment="1" applyProtection="1">
      <alignment horizontal="center" vertical="top"/>
    </xf>
    <xf numFmtId="0" fontId="17" fillId="0" borderId="19" xfId="2" applyFont="1" applyFill="1" applyBorder="1" applyAlignment="1" applyProtection="1">
      <alignment horizontal="center" vertical="top"/>
    </xf>
    <xf numFmtId="0" fontId="16" fillId="6" borderId="19" xfId="0" applyFont="1" applyFill="1" applyBorder="1" applyAlignment="1" applyProtection="1">
      <alignment horizontal="center" vertical="top"/>
    </xf>
    <xf numFmtId="0" fontId="16" fillId="0" borderId="0" xfId="2" applyFont="1" applyAlignment="1" applyProtection="1">
      <alignment horizontal="center" vertical="top"/>
    </xf>
    <xf numFmtId="0" fontId="17" fillId="6" borderId="47" xfId="2" applyFont="1" applyFill="1" applyBorder="1" applyAlignment="1" applyProtection="1">
      <alignment horizontal="center" vertical="top"/>
    </xf>
    <xf numFmtId="0" fontId="16" fillId="0" borderId="31" xfId="0" applyFont="1" applyFill="1" applyBorder="1" applyAlignment="1" applyProtection="1">
      <alignment vertical="top"/>
    </xf>
    <xf numFmtId="0" fontId="17" fillId="0" borderId="23" xfId="2" applyFont="1" applyFill="1" applyBorder="1" applyAlignment="1" applyProtection="1">
      <alignment horizontal="center" vertical="top"/>
    </xf>
    <xf numFmtId="2" fontId="28" fillId="6" borderId="23" xfId="2" applyNumberFormat="1" applyFont="1" applyFill="1" applyBorder="1" applyAlignment="1" applyProtection="1">
      <alignment horizontal="center" vertical="top"/>
    </xf>
    <xf numFmtId="0" fontId="16" fillId="0" borderId="25" xfId="2" applyFont="1" applyBorder="1" applyAlignment="1" applyProtection="1">
      <alignment vertical="top"/>
    </xf>
    <xf numFmtId="164" fontId="17" fillId="0" borderId="0" xfId="2" applyNumberFormat="1" applyFont="1" applyAlignment="1" applyProtection="1">
      <alignment vertical="top"/>
    </xf>
    <xf numFmtId="0" fontId="16" fillId="0" borderId="0" xfId="2" applyFont="1" applyAlignment="1" applyProtection="1">
      <alignment horizontal="center" vertical="center"/>
    </xf>
    <xf numFmtId="164" fontId="16" fillId="0" borderId="0" xfId="2" applyNumberFormat="1" applyFont="1" applyAlignment="1" applyProtection="1">
      <alignment horizontal="center" vertical="center"/>
    </xf>
    <xf numFmtId="0" fontId="15" fillId="0" borderId="0" xfId="2" applyFont="1" applyAlignment="1" applyProtection="1">
      <alignment vertical="top"/>
    </xf>
    <xf numFmtId="0" fontId="32" fillId="0" borderId="0" xfId="2" applyFont="1" applyAlignment="1" applyProtection="1">
      <alignment horizontal="center" vertical="top"/>
    </xf>
    <xf numFmtId="0" fontId="26" fillId="0" borderId="0" xfId="2" applyFont="1" applyAlignment="1" applyProtection="1">
      <alignment vertical="top"/>
    </xf>
    <xf numFmtId="0" fontId="17" fillId="0" borderId="0" xfId="2" applyFont="1" applyAlignment="1" applyProtection="1">
      <alignment horizontal="right" vertical="top"/>
    </xf>
    <xf numFmtId="164" fontId="17" fillId="5" borderId="19" xfId="1" applyNumberFormat="1" applyFont="1" applyFill="1" applyBorder="1" applyAlignment="1" applyProtection="1">
      <alignment horizontal="center" vertical="center"/>
    </xf>
    <xf numFmtId="6" fontId="17" fillId="5" borderId="19" xfId="1" applyNumberFormat="1" applyFont="1" applyFill="1" applyBorder="1" applyAlignment="1" applyProtection="1">
      <alignment horizontal="center" vertical="center"/>
    </xf>
    <xf numFmtId="164" fontId="17" fillId="5" borderId="23" xfId="1" applyNumberFormat="1" applyFont="1" applyFill="1" applyBorder="1" applyAlignment="1" applyProtection="1">
      <alignment horizontal="center" vertical="center"/>
    </xf>
    <xf numFmtId="0" fontId="15" fillId="0" borderId="0" xfId="2" applyFont="1" applyAlignment="1" applyProtection="1">
      <alignment vertical="center"/>
    </xf>
    <xf numFmtId="0" fontId="26" fillId="0" borderId="0" xfId="2" applyFont="1" applyAlignment="1" applyProtection="1">
      <alignment vertical="center"/>
    </xf>
    <xf numFmtId="0" fontId="16" fillId="0" borderId="0" xfId="0" applyFont="1" applyFill="1" applyAlignment="1" applyProtection="1">
      <alignment horizontal="left" wrapText="1"/>
    </xf>
    <xf numFmtId="0" fontId="20" fillId="0" borderId="0" xfId="2" applyFont="1" applyAlignment="1" applyProtection="1">
      <alignment horizontal="left" vertical="top"/>
    </xf>
    <xf numFmtId="164" fontId="20" fillId="0" borderId="0" xfId="2" applyNumberFormat="1" applyFont="1" applyAlignment="1" applyProtection="1">
      <alignment horizontal="left" vertical="top"/>
    </xf>
    <xf numFmtId="0" fontId="16" fillId="0" borderId="52" xfId="0" applyFont="1" applyBorder="1" applyAlignment="1" applyProtection="1">
      <alignment horizontal="right"/>
    </xf>
    <xf numFmtId="0" fontId="17" fillId="0" borderId="36" xfId="0" applyFont="1" applyBorder="1" applyAlignment="1" applyProtection="1">
      <alignment horizontal="right"/>
    </xf>
    <xf numFmtId="0" fontId="17" fillId="0" borderId="43" xfId="0" applyFont="1" applyBorder="1" applyAlignment="1" applyProtection="1">
      <alignment horizontal="center"/>
    </xf>
    <xf numFmtId="0" fontId="16" fillId="0" borderId="21" xfId="0" applyFont="1" applyBorder="1" applyAlignment="1" applyProtection="1">
      <alignment horizontal="right"/>
    </xf>
    <xf numFmtId="0" fontId="16" fillId="0" borderId="16" xfId="0" applyFont="1" applyFill="1" applyBorder="1" applyAlignment="1" applyProtection="1">
      <alignment horizontal="center"/>
    </xf>
    <xf numFmtId="0" fontId="16" fillId="0" borderId="16" xfId="0" applyFont="1" applyFill="1" applyBorder="1" applyAlignment="1" applyProtection="1">
      <alignment horizontal="right"/>
    </xf>
    <xf numFmtId="0" fontId="16" fillId="0" borderId="22" xfId="0" applyFont="1" applyFill="1" applyBorder="1" applyAlignment="1" applyProtection="1">
      <alignment horizontal="center"/>
    </xf>
    <xf numFmtId="0" fontId="16" fillId="0" borderId="0" xfId="0" applyFont="1" applyProtection="1"/>
    <xf numFmtId="0" fontId="17" fillId="0" borderId="0" xfId="0" applyFont="1" applyProtection="1"/>
    <xf numFmtId="0" fontId="16" fillId="0" borderId="24" xfId="2" applyFont="1" applyBorder="1" applyAlignment="1" applyProtection="1">
      <alignment horizontal="center" vertical="top"/>
    </xf>
    <xf numFmtId="164" fontId="16" fillId="0" borderId="24" xfId="2" applyNumberFormat="1" applyFont="1" applyBorder="1" applyAlignment="1" applyProtection="1">
      <alignment horizontal="center" vertical="top"/>
    </xf>
    <xf numFmtId="0" fontId="16" fillId="0" borderId="0" xfId="2" applyFont="1" applyAlignment="1" applyProtection="1">
      <alignment horizontal="right" vertical="top"/>
    </xf>
    <xf numFmtId="0" fontId="17" fillId="0" borderId="0" xfId="0" applyFont="1" applyBorder="1" applyProtection="1"/>
    <xf numFmtId="0" fontId="17" fillId="0" borderId="16" xfId="0" applyFont="1" applyBorder="1" applyProtection="1"/>
    <xf numFmtId="0" fontId="16" fillId="0" borderId="46" xfId="2" applyFont="1" applyFill="1" applyBorder="1" applyAlignment="1" applyProtection="1">
      <alignment horizontal="right" vertical="top"/>
    </xf>
    <xf numFmtId="0" fontId="17" fillId="0" borderId="9" xfId="2" applyFont="1" applyBorder="1" applyAlignment="1" applyProtection="1">
      <alignment vertical="center"/>
    </xf>
    <xf numFmtId="0" fontId="16" fillId="6" borderId="23" xfId="2" applyFont="1" applyFill="1" applyBorder="1" applyAlignment="1" applyProtection="1">
      <alignment horizontal="center" vertical="top"/>
    </xf>
    <xf numFmtId="0" fontId="16" fillId="0" borderId="25" xfId="2" applyFont="1" applyFill="1" applyBorder="1" applyAlignment="1" applyProtection="1">
      <alignment horizontal="center" vertical="top"/>
    </xf>
    <xf numFmtId="0" fontId="15" fillId="0" borderId="0" xfId="0" applyFont="1" applyProtection="1"/>
    <xf numFmtId="0" fontId="26" fillId="0" borderId="0" xfId="0" applyFont="1" applyProtection="1"/>
    <xf numFmtId="0" fontId="20" fillId="0" borderId="0" xfId="0" applyFont="1" applyProtection="1"/>
    <xf numFmtId="0" fontId="15" fillId="0" borderId="0" xfId="0" applyFont="1" applyAlignment="1" applyProtection="1">
      <alignment horizontal="center"/>
    </xf>
    <xf numFmtId="0" fontId="20" fillId="0" borderId="0" xfId="0" applyFont="1" applyAlignment="1" applyProtection="1">
      <alignment horizontal="center"/>
    </xf>
    <xf numFmtId="0" fontId="15" fillId="0" borderId="0" xfId="0" applyFont="1" applyAlignment="1" applyProtection="1">
      <alignment horizontal="center"/>
      <protection locked="0"/>
    </xf>
    <xf numFmtId="6" fontId="29" fillId="6" borderId="23" xfId="2" applyNumberFormat="1" applyFont="1" applyFill="1" applyBorder="1" applyAlignment="1" applyProtection="1">
      <alignment horizontal="center" vertical="top"/>
    </xf>
    <xf numFmtId="164" fontId="16" fillId="0" borderId="47" xfId="2" applyNumberFormat="1" applyFont="1" applyFill="1" applyBorder="1" applyAlignment="1" applyProtection="1">
      <alignment vertical="top"/>
    </xf>
    <xf numFmtId="0" fontId="16" fillId="0" borderId="0" xfId="2" applyFont="1" applyFill="1" applyBorder="1" applyAlignment="1" applyProtection="1">
      <alignment horizontal="center" vertical="top"/>
    </xf>
    <xf numFmtId="0" fontId="19" fillId="5" borderId="27" xfId="2" applyFont="1" applyFill="1" applyBorder="1" applyAlignment="1" applyProtection="1">
      <alignment horizontal="center" vertical="top"/>
    </xf>
    <xf numFmtId="0" fontId="16" fillId="0" borderId="0" xfId="2" applyFont="1" applyFill="1" applyBorder="1" applyAlignment="1" applyProtection="1">
      <alignment horizontal="center" vertical="center"/>
    </xf>
    <xf numFmtId="0" fontId="32" fillId="0" borderId="0" xfId="2" applyFont="1" applyAlignment="1" applyProtection="1">
      <alignment vertical="top"/>
    </xf>
    <xf numFmtId="0" fontId="17" fillId="0" borderId="14" xfId="0" applyFont="1" applyFill="1" applyBorder="1" applyAlignment="1" applyProtection="1">
      <alignment horizontal="center" vertical="top"/>
    </xf>
    <xf numFmtId="164" fontId="27" fillId="5" borderId="14" xfId="1" applyNumberFormat="1" applyFont="1" applyFill="1" applyBorder="1" applyAlignment="1" applyProtection="1">
      <alignment horizontal="center" vertical="center"/>
    </xf>
    <xf numFmtId="0" fontId="16" fillId="0" borderId="3" xfId="0" applyFont="1" applyBorder="1" applyAlignment="1" applyProtection="1">
      <alignment horizontal="left" vertical="center"/>
    </xf>
    <xf numFmtId="0" fontId="23" fillId="0" borderId="3" xfId="2" applyFont="1" applyFill="1" applyBorder="1" applyAlignment="1" applyProtection="1">
      <alignment horizontal="left" vertical="top" indent="2"/>
    </xf>
    <xf numFmtId="0" fontId="16" fillId="6" borderId="19" xfId="2" applyFont="1" applyFill="1" applyBorder="1" applyAlignment="1" applyProtection="1">
      <alignment horizontal="center" vertical="top"/>
    </xf>
    <xf numFmtId="0" fontId="28" fillId="6" borderId="19" xfId="2" applyFont="1" applyFill="1" applyBorder="1" applyAlignment="1" applyProtection="1">
      <alignment horizontal="center" vertical="top"/>
    </xf>
    <xf numFmtId="0" fontId="23" fillId="0" borderId="0" xfId="2" applyFont="1" applyFill="1" applyAlignment="1" applyProtection="1">
      <alignment horizontal="center" vertical="center"/>
    </xf>
    <xf numFmtId="0" fontId="16" fillId="0" borderId="0" xfId="2" applyFont="1" applyFill="1" applyAlignment="1" applyProtection="1">
      <alignment horizontal="center" vertical="top"/>
    </xf>
    <xf numFmtId="0" fontId="16" fillId="0" borderId="10" xfId="2" applyFont="1" applyBorder="1" applyAlignment="1" applyProtection="1">
      <alignment horizontal="center" vertical="top"/>
    </xf>
    <xf numFmtId="0" fontId="16" fillId="0" borderId="3" xfId="2" applyFont="1" applyFill="1" applyBorder="1" applyAlignment="1" applyProtection="1">
      <alignment horizontal="left" vertical="top" wrapText="1"/>
    </xf>
    <xf numFmtId="0" fontId="17" fillId="6" borderId="23" xfId="2" applyFont="1" applyFill="1" applyBorder="1" applyAlignment="1" applyProtection="1">
      <alignment horizontal="center" vertical="center"/>
    </xf>
    <xf numFmtId="0" fontId="17" fillId="2" borderId="0" xfId="2" applyFont="1" applyFill="1" applyBorder="1" applyAlignment="1" applyProtection="1">
      <alignment horizontal="center" vertical="top"/>
    </xf>
    <xf numFmtId="0" fontId="17" fillId="6" borderId="44" xfId="2" applyFont="1" applyFill="1" applyBorder="1" applyAlignment="1" applyProtection="1">
      <alignment horizontal="left" vertical="top"/>
    </xf>
    <xf numFmtId="0" fontId="17" fillId="6" borderId="36" xfId="0" applyFont="1" applyFill="1" applyBorder="1" applyAlignment="1" applyProtection="1">
      <alignment horizontal="left"/>
    </xf>
    <xf numFmtId="0" fontId="17" fillId="6" borderId="43" xfId="0" applyFont="1" applyFill="1" applyBorder="1" applyAlignment="1" applyProtection="1">
      <alignment horizontal="left"/>
    </xf>
    <xf numFmtId="0" fontId="19" fillId="0" borderId="0" xfId="0" applyFont="1" applyProtection="1">
      <protection locked="0"/>
    </xf>
    <xf numFmtId="0" fontId="15" fillId="0" borderId="0" xfId="0" applyFont="1" applyAlignment="1" applyProtection="1">
      <alignment horizontal="right"/>
      <protection locked="0"/>
    </xf>
    <xf numFmtId="0" fontId="15" fillId="0" borderId="40" xfId="0" applyFont="1" applyFill="1" applyBorder="1" applyAlignment="1" applyProtection="1"/>
    <xf numFmtId="0" fontId="15" fillId="0" borderId="3" xfId="0" applyFont="1" applyFill="1" applyBorder="1" applyAlignment="1" applyProtection="1"/>
    <xf numFmtId="0" fontId="16" fillId="0" borderId="42" xfId="0" applyFont="1" applyFill="1" applyBorder="1" applyAlignment="1" applyProtection="1"/>
    <xf numFmtId="49" fontId="16" fillId="6" borderId="19" xfId="2" applyNumberFormat="1" applyFont="1" applyFill="1" applyBorder="1" applyAlignment="1" applyProtection="1">
      <alignment horizontal="center" vertical="top"/>
    </xf>
    <xf numFmtId="0" fontId="16" fillId="0" borderId="0" xfId="0" applyFont="1" applyBorder="1" applyAlignment="1" applyProtection="1">
      <alignment horizontal="left" vertical="center" wrapText="1" indent="2"/>
    </xf>
    <xf numFmtId="0" fontId="16" fillId="0" borderId="0" xfId="0" applyFont="1" applyBorder="1" applyAlignment="1" applyProtection="1">
      <alignment horizontal="left" vertical="center"/>
    </xf>
    <xf numFmtId="1" fontId="16" fillId="6" borderId="19" xfId="2" applyNumberFormat="1" applyFont="1" applyFill="1" applyBorder="1" applyAlignment="1" applyProtection="1">
      <alignment horizontal="center" vertical="top"/>
    </xf>
    <xf numFmtId="166" fontId="16" fillId="9" borderId="27" xfId="8" applyNumberFormat="1" applyFont="1" applyFill="1" applyBorder="1" applyAlignment="1" applyProtection="1">
      <alignment horizontal="center"/>
    </xf>
    <xf numFmtId="0" fontId="15" fillId="0" borderId="0" xfId="0" applyFont="1" applyFill="1" applyProtection="1">
      <protection locked="0"/>
    </xf>
    <xf numFmtId="0" fontId="16" fillId="0" borderId="36" xfId="0" applyFont="1" applyBorder="1" applyAlignment="1" applyProtection="1">
      <alignment horizontal="right"/>
    </xf>
    <xf numFmtId="49" fontId="25" fillId="6" borderId="36" xfId="0" applyNumberFormat="1" applyFont="1" applyFill="1" applyBorder="1" applyAlignment="1" applyProtection="1"/>
    <xf numFmtId="165" fontId="24" fillId="2" borderId="43" xfId="1" applyNumberFormat="1" applyFont="1" applyFill="1" applyBorder="1" applyProtection="1"/>
    <xf numFmtId="165" fontId="24" fillId="2" borderId="37" xfId="1" applyNumberFormat="1" applyFont="1" applyFill="1" applyBorder="1" applyProtection="1"/>
    <xf numFmtId="0" fontId="17" fillId="2" borderId="54" xfId="0" applyFont="1" applyFill="1" applyBorder="1" applyAlignment="1" applyProtection="1">
      <alignment horizontal="left"/>
    </xf>
    <xf numFmtId="0" fontId="16" fillId="2" borderId="50" xfId="0" applyFont="1" applyFill="1" applyBorder="1" applyProtection="1"/>
    <xf numFmtId="0" fontId="16" fillId="2" borderId="50" xfId="0" applyFont="1" applyFill="1" applyBorder="1" applyAlignment="1" applyProtection="1">
      <alignment horizontal="right"/>
    </xf>
    <xf numFmtId="165" fontId="17" fillId="6" borderId="53" xfId="1" applyNumberFormat="1" applyFont="1" applyFill="1" applyBorder="1" applyAlignment="1" applyProtection="1">
      <alignment horizontal="center"/>
    </xf>
    <xf numFmtId="0" fontId="17" fillId="2" borderId="12" xfId="0" applyFont="1" applyFill="1" applyBorder="1" applyProtection="1"/>
    <xf numFmtId="0" fontId="16" fillId="2" borderId="9" xfId="0" applyFont="1" applyFill="1" applyBorder="1" applyProtection="1"/>
    <xf numFmtId="0" fontId="16" fillId="2" borderId="9" xfId="0" applyFont="1" applyFill="1" applyBorder="1" applyAlignment="1" applyProtection="1">
      <alignment horizontal="right"/>
    </xf>
    <xf numFmtId="165" fontId="17" fillId="6" borderId="47" xfId="1" applyNumberFormat="1" applyFont="1" applyFill="1" applyBorder="1" applyProtection="1"/>
    <xf numFmtId="0" fontId="17" fillId="2" borderId="12" xfId="0" applyFont="1" applyFill="1" applyBorder="1" applyAlignment="1" applyProtection="1">
      <alignment horizontal="left"/>
    </xf>
    <xf numFmtId="0" fontId="16" fillId="2" borderId="9" xfId="0" applyFont="1" applyFill="1" applyBorder="1" applyAlignment="1" applyProtection="1">
      <alignment horizontal="left"/>
    </xf>
    <xf numFmtId="165" fontId="17" fillId="6" borderId="47" xfId="0" applyNumberFormat="1" applyFont="1" applyFill="1" applyBorder="1" applyProtection="1"/>
    <xf numFmtId="0" fontId="24" fillId="5" borderId="3" xfId="0" applyFont="1" applyFill="1" applyBorder="1" applyAlignment="1" applyProtection="1">
      <alignment horizontal="left" indent="2"/>
    </xf>
    <xf numFmtId="165" fontId="24" fillId="5" borderId="0" xfId="1" applyNumberFormat="1" applyFont="1" applyFill="1" applyBorder="1" applyProtection="1"/>
    <xf numFmtId="165" fontId="24" fillId="5" borderId="27" xfId="1" applyNumberFormat="1" applyFont="1" applyFill="1" applyBorder="1" applyProtection="1"/>
    <xf numFmtId="165" fontId="24" fillId="5" borderId="4" xfId="1" applyNumberFormat="1" applyFont="1" applyFill="1" applyBorder="1" applyProtection="1"/>
    <xf numFmtId="165" fontId="24" fillId="5" borderId="19" xfId="1" applyNumberFormat="1" applyFont="1" applyFill="1" applyBorder="1" applyProtection="1"/>
    <xf numFmtId="0" fontId="24" fillId="5" borderId="3" xfId="0" applyFont="1" applyFill="1" applyBorder="1" applyAlignment="1" applyProtection="1">
      <alignment horizontal="left" indent="4"/>
    </xf>
    <xf numFmtId="165" fontId="24" fillId="5" borderId="16" xfId="1" applyNumberFormat="1" applyFont="1" applyFill="1" applyBorder="1" applyProtection="1"/>
    <xf numFmtId="165" fontId="24" fillId="5" borderId="23" xfId="1" applyNumberFormat="1" applyFont="1" applyFill="1" applyBorder="1" applyProtection="1"/>
    <xf numFmtId="0" fontId="17" fillId="2" borderId="12" xfId="0" applyFont="1" applyFill="1" applyBorder="1" applyAlignment="1" applyProtection="1"/>
    <xf numFmtId="0" fontId="16" fillId="2" borderId="16" xfId="0" applyFont="1" applyFill="1" applyBorder="1" applyAlignment="1" applyProtection="1"/>
    <xf numFmtId="165" fontId="17" fillId="6" borderId="46" xfId="1" applyNumberFormat="1" applyFont="1" applyFill="1" applyBorder="1" applyProtection="1"/>
    <xf numFmtId="0" fontId="32" fillId="5" borderId="62" xfId="2" applyFont="1" applyFill="1" applyBorder="1" applyAlignment="1" applyProtection="1">
      <alignment vertical="top"/>
      <protection locked="0"/>
    </xf>
    <xf numFmtId="0" fontId="16" fillId="0" borderId="16" xfId="2" applyFont="1" applyBorder="1" applyAlignment="1" applyProtection="1">
      <alignment vertical="top"/>
    </xf>
    <xf numFmtId="0" fontId="19" fillId="5" borderId="60" xfId="2" applyFont="1" applyFill="1" applyBorder="1" applyAlignment="1" applyProtection="1">
      <alignment horizontal="center" vertical="center" wrapText="1"/>
    </xf>
    <xf numFmtId="0" fontId="19" fillId="5" borderId="56" xfId="2" applyFont="1" applyFill="1" applyBorder="1" applyAlignment="1" applyProtection="1">
      <alignment vertical="center" wrapText="1"/>
    </xf>
    <xf numFmtId="0" fontId="19" fillId="5" borderId="56" xfId="2" applyFont="1" applyFill="1" applyBorder="1" applyAlignment="1" applyProtection="1">
      <alignment vertical="top"/>
    </xf>
    <xf numFmtId="0" fontId="19" fillId="5" borderId="46" xfId="2" applyFont="1" applyFill="1" applyBorder="1" applyAlignment="1" applyProtection="1">
      <alignment vertical="center" wrapText="1"/>
    </xf>
    <xf numFmtId="0" fontId="16" fillId="0" borderId="0" xfId="0" applyFont="1" applyBorder="1" applyProtection="1"/>
    <xf numFmtId="14" fontId="16" fillId="0" borderId="0" xfId="0" applyNumberFormat="1" applyFont="1" applyBorder="1" applyAlignment="1" applyProtection="1">
      <alignment horizontal="left"/>
    </xf>
    <xf numFmtId="0" fontId="16" fillId="0" borderId="0" xfId="0" quotePrefix="1" applyFont="1" applyProtection="1"/>
    <xf numFmtId="0" fontId="18" fillId="0" borderId="0" xfId="0" applyFont="1" applyProtection="1"/>
    <xf numFmtId="0" fontId="26" fillId="0" borderId="0" xfId="0" applyFont="1" applyAlignment="1" applyProtection="1"/>
    <xf numFmtId="0" fontId="15" fillId="0" borderId="0" xfId="0" applyFont="1" applyAlignment="1" applyProtection="1"/>
    <xf numFmtId="0" fontId="26" fillId="0" borderId="16" xfId="0" applyFont="1" applyBorder="1" applyProtection="1"/>
    <xf numFmtId="0" fontId="16" fillId="0" borderId="3" xfId="0" applyFont="1" applyBorder="1" applyAlignment="1" applyProtection="1">
      <alignment horizontal="right" vertical="center"/>
    </xf>
    <xf numFmtId="0" fontId="16" fillId="0" borderId="16" xfId="0" applyFont="1" applyBorder="1" applyProtection="1"/>
    <xf numFmtId="0" fontId="17" fillId="0" borderId="0" xfId="0" applyFont="1" applyFill="1" applyBorder="1" applyAlignment="1" applyProtection="1">
      <alignment horizontal="center" vertical="center"/>
    </xf>
    <xf numFmtId="167" fontId="17" fillId="0" borderId="0" xfId="0" applyNumberFormat="1" applyFont="1" applyFill="1" applyBorder="1" applyAlignment="1" applyProtection="1">
      <alignment horizontal="center" vertical="center"/>
    </xf>
    <xf numFmtId="0" fontId="16" fillId="0" borderId="16" xfId="0" applyFont="1" applyBorder="1" applyAlignment="1" applyProtection="1">
      <alignment horizontal="left"/>
    </xf>
    <xf numFmtId="0" fontId="16" fillId="0" borderId="60" xfId="2" applyFont="1" applyFill="1" applyBorder="1" applyAlignment="1" applyProtection="1">
      <alignment horizontal="left" vertical="top"/>
    </xf>
    <xf numFmtId="167" fontId="16" fillId="0" borderId="0" xfId="2" applyNumberFormat="1" applyFont="1" applyFill="1" applyAlignment="1" applyProtection="1">
      <alignment vertical="top"/>
    </xf>
    <xf numFmtId="0" fontId="16" fillId="0" borderId="56" xfId="2" applyFont="1" applyFill="1" applyBorder="1" applyAlignment="1" applyProtection="1">
      <alignment horizontal="left" vertical="top"/>
    </xf>
    <xf numFmtId="0" fontId="16" fillId="0" borderId="46" xfId="2" applyFont="1" applyFill="1" applyBorder="1" applyAlignment="1" applyProtection="1">
      <alignment horizontal="left" vertical="top"/>
    </xf>
    <xf numFmtId="167" fontId="16" fillId="0" borderId="13" xfId="2" applyNumberFormat="1" applyFont="1" applyFill="1" applyBorder="1" applyAlignment="1" applyProtection="1">
      <alignment vertical="top"/>
    </xf>
    <xf numFmtId="0" fontId="16" fillId="0" borderId="28" xfId="2" applyFont="1" applyFill="1" applyBorder="1" applyAlignment="1" applyProtection="1">
      <alignment horizontal="center" vertical="top"/>
    </xf>
    <xf numFmtId="167" fontId="16" fillId="0" borderId="0" xfId="2" applyNumberFormat="1" applyFont="1" applyFill="1" applyBorder="1" applyAlignment="1" applyProtection="1">
      <alignment vertical="top"/>
    </xf>
    <xf numFmtId="0" fontId="15" fillId="5" borderId="0" xfId="0" applyFont="1" applyFill="1" applyProtection="1"/>
    <xf numFmtId="0" fontId="16" fillId="0" borderId="60" xfId="0" applyFont="1" applyBorder="1" applyAlignment="1" applyProtection="1">
      <alignment vertical="center"/>
    </xf>
    <xf numFmtId="0" fontId="16" fillId="0" borderId="56" xfId="0" applyFont="1" applyBorder="1" applyAlignment="1" applyProtection="1">
      <alignment vertical="center"/>
    </xf>
    <xf numFmtId="0" fontId="15" fillId="9" borderId="0" xfId="0" applyFont="1" applyFill="1"/>
    <xf numFmtId="0" fontId="16" fillId="0" borderId="59" xfId="0" applyFont="1" applyBorder="1" applyAlignment="1" applyProtection="1">
      <alignment horizontal="right"/>
    </xf>
    <xf numFmtId="0" fontId="16" fillId="0" borderId="63" xfId="0" applyFont="1" applyBorder="1" applyAlignment="1" applyProtection="1">
      <alignment horizontal="right"/>
    </xf>
    <xf numFmtId="0" fontId="17" fillId="0" borderId="62" xfId="2" applyFont="1" applyBorder="1" applyAlignment="1" applyProtection="1">
      <alignment horizontal="center" vertical="center"/>
    </xf>
    <xf numFmtId="0" fontId="18" fillId="0" borderId="0" xfId="0" applyFont="1" applyFill="1" applyProtection="1"/>
    <xf numFmtId="0" fontId="26" fillId="0" borderId="0" xfId="0" applyFont="1" applyFill="1" applyProtection="1"/>
    <xf numFmtId="0" fontId="15" fillId="0" borderId="0" xfId="0" applyFont="1" applyFill="1" applyProtection="1"/>
    <xf numFmtId="0" fontId="17" fillId="0" borderId="64" xfId="0" applyFont="1" applyBorder="1" applyAlignment="1" applyProtection="1">
      <alignment horizontal="right"/>
    </xf>
    <xf numFmtId="0" fontId="16" fillId="0" borderId="59" xfId="0" applyFont="1" applyBorder="1" applyAlignment="1">
      <alignment horizontal="right"/>
    </xf>
    <xf numFmtId="0" fontId="16" fillId="0" borderId="63" xfId="0" applyFont="1" applyBorder="1" applyAlignment="1">
      <alignment horizontal="right"/>
    </xf>
    <xf numFmtId="0" fontId="17" fillId="0" borderId="64" xfId="0" applyFont="1" applyBorder="1" applyAlignment="1">
      <alignment horizontal="right"/>
    </xf>
    <xf numFmtId="0" fontId="17" fillId="4" borderId="62" xfId="2" applyFont="1" applyFill="1" applyBorder="1" applyAlignment="1">
      <alignment vertical="top"/>
    </xf>
    <xf numFmtId="0" fontId="17" fillId="2" borderId="62" xfId="2" applyFont="1" applyFill="1" applyBorder="1" applyAlignment="1">
      <alignment horizontal="center"/>
    </xf>
    <xf numFmtId="0" fontId="16" fillId="5" borderId="34" xfId="0" applyFont="1" applyFill="1" applyBorder="1" applyAlignment="1">
      <alignment horizontal="left"/>
    </xf>
    <xf numFmtId="0" fontId="16" fillId="5" borderId="35" xfId="0" applyFont="1" applyFill="1" applyBorder="1" applyAlignment="1">
      <alignment horizontal="left"/>
    </xf>
    <xf numFmtId="0" fontId="16" fillId="5" borderId="59" xfId="0" applyFont="1" applyFill="1" applyBorder="1" applyAlignment="1">
      <alignment horizontal="left"/>
    </xf>
    <xf numFmtId="0" fontId="16" fillId="6" borderId="73" xfId="0" applyFont="1" applyFill="1" applyBorder="1" applyAlignment="1">
      <alignment horizontal="center"/>
    </xf>
    <xf numFmtId="0" fontId="16" fillId="6" borderId="74" xfId="0" applyFont="1" applyFill="1" applyBorder="1" applyAlignment="1">
      <alignment horizontal="center"/>
    </xf>
    <xf numFmtId="0" fontId="16" fillId="6" borderId="75" xfId="0" applyFont="1" applyFill="1" applyBorder="1" applyAlignment="1">
      <alignment horizontal="center"/>
    </xf>
    <xf numFmtId="0" fontId="16" fillId="0" borderId="65" xfId="0" applyFont="1" applyBorder="1" applyAlignment="1">
      <alignment horizontal="center"/>
    </xf>
    <xf numFmtId="0" fontId="16" fillId="0" borderId="19" xfId="0" applyFont="1" applyBorder="1" applyAlignment="1">
      <alignment horizontal="center"/>
    </xf>
    <xf numFmtId="9" fontId="16" fillId="0" borderId="19" xfId="0" applyNumberFormat="1" applyFont="1" applyBorder="1" applyAlignment="1">
      <alignment horizontal="center"/>
    </xf>
    <xf numFmtId="9" fontId="16" fillId="0" borderId="19" xfId="0" applyNumberFormat="1" applyFont="1" applyBorder="1" applyAlignment="1">
      <alignment horizontal="left"/>
    </xf>
    <xf numFmtId="165" fontId="16" fillId="0" borderId="66" xfId="0" applyNumberFormat="1" applyFont="1" applyBorder="1"/>
    <xf numFmtId="0" fontId="16" fillId="0" borderId="67" xfId="0" applyFont="1" applyBorder="1" applyAlignment="1">
      <alignment horizontal="center"/>
    </xf>
    <xf numFmtId="0" fontId="16" fillId="0" borderId="26" xfId="0" applyFont="1" applyBorder="1" applyAlignment="1">
      <alignment horizontal="center"/>
    </xf>
    <xf numFmtId="9" fontId="16" fillId="0" borderId="26" xfId="0" applyNumberFormat="1" applyFont="1" applyBorder="1" applyAlignment="1">
      <alignment horizontal="left"/>
    </xf>
    <xf numFmtId="165" fontId="16" fillId="0" borderId="68" xfId="0" applyNumberFormat="1" applyFont="1" applyBorder="1"/>
    <xf numFmtId="0" fontId="16" fillId="0" borderId="69" xfId="0" applyFont="1" applyBorder="1" applyAlignment="1">
      <alignment horizontal="center"/>
    </xf>
    <xf numFmtId="0" fontId="16" fillId="0" borderId="23" xfId="0" applyFont="1" applyBorder="1" applyAlignment="1">
      <alignment horizontal="center"/>
    </xf>
    <xf numFmtId="9" fontId="16" fillId="0" borderId="23" xfId="0" applyNumberFormat="1" applyFont="1" applyBorder="1" applyAlignment="1">
      <alignment horizontal="left"/>
    </xf>
    <xf numFmtId="165" fontId="16" fillId="0" borderId="70" xfId="0" applyNumberFormat="1" applyFont="1" applyBorder="1"/>
    <xf numFmtId="0" fontId="16" fillId="0" borderId="71" xfId="0" applyFont="1" applyBorder="1" applyAlignment="1">
      <alignment horizontal="center"/>
    </xf>
    <xf numFmtId="0" fontId="16" fillId="0" borderId="43" xfId="0" applyFont="1" applyBorder="1" applyAlignment="1">
      <alignment horizontal="center"/>
    </xf>
    <xf numFmtId="165" fontId="16" fillId="0" borderId="72" xfId="0" applyNumberFormat="1" applyFont="1" applyBorder="1"/>
    <xf numFmtId="44" fontId="28" fillId="0" borderId="19" xfId="1" applyFont="1" applyBorder="1" applyAlignment="1">
      <alignment horizontal="right"/>
    </xf>
    <xf numFmtId="44" fontId="28" fillId="0" borderId="27" xfId="1" applyFont="1" applyBorder="1" applyAlignment="1">
      <alignment horizontal="right"/>
    </xf>
    <xf numFmtId="0" fontId="17" fillId="0" borderId="44" xfId="0" applyFont="1" applyBorder="1" applyAlignment="1">
      <alignment horizontal="right"/>
    </xf>
    <xf numFmtId="0" fontId="17" fillId="0" borderId="0" xfId="0" applyFont="1" applyBorder="1" applyAlignment="1">
      <alignment horizontal="right"/>
    </xf>
    <xf numFmtId="0" fontId="45" fillId="0" borderId="0" xfId="9" applyFont="1"/>
    <xf numFmtId="0" fontId="44" fillId="0" borderId="0" xfId="9"/>
    <xf numFmtId="0" fontId="46" fillId="0" borderId="0" xfId="9" applyFont="1"/>
    <xf numFmtId="14" fontId="44" fillId="0" borderId="0" xfId="9" applyNumberFormat="1"/>
    <xf numFmtId="43" fontId="0" fillId="0" borderId="0" xfId="10" applyFont="1"/>
    <xf numFmtId="0" fontId="44" fillId="0" borderId="6" xfId="9" applyBorder="1" applyAlignment="1">
      <alignment horizontal="centerContinuous"/>
    </xf>
    <xf numFmtId="0" fontId="44" fillId="0" borderId="0" xfId="9" applyAlignment="1">
      <alignment horizontal="centerContinuous"/>
    </xf>
    <xf numFmtId="0" fontId="47" fillId="0" borderId="0" xfId="9" applyFont="1" applyAlignment="1">
      <alignment wrapText="1"/>
    </xf>
    <xf numFmtId="0" fontId="47" fillId="0" borderId="0" xfId="9" applyFont="1" applyAlignment="1">
      <alignment horizontal="center" wrapText="1"/>
    </xf>
    <xf numFmtId="0" fontId="9" fillId="0" borderId="0" xfId="9" applyFont="1" applyAlignment="1">
      <alignment horizontal="center" wrapText="1"/>
    </xf>
    <xf numFmtId="0" fontId="44" fillId="0" borderId="0" xfId="9" applyAlignment="1">
      <alignment wrapText="1"/>
    </xf>
    <xf numFmtId="10" fontId="48" fillId="10" borderId="0" xfId="9" applyNumberFormat="1" applyFont="1" applyFill="1" applyAlignment="1">
      <alignment wrapText="1"/>
    </xf>
    <xf numFmtId="0" fontId="8" fillId="0" borderId="0" xfId="9" applyFont="1"/>
    <xf numFmtId="1" fontId="48" fillId="0" borderId="0" xfId="9" applyNumberFormat="1" applyFont="1" applyAlignment="1">
      <alignment horizontal="center"/>
    </xf>
    <xf numFmtId="1" fontId="49" fillId="11" borderId="0" xfId="9" applyNumberFormat="1" applyFont="1" applyFill="1" applyAlignment="1">
      <alignment horizontal="center"/>
    </xf>
    <xf numFmtId="10" fontId="50" fillId="11" borderId="0" xfId="9" applyNumberFormat="1" applyFont="1" applyFill="1"/>
    <xf numFmtId="0" fontId="9" fillId="0" borderId="0" xfId="9" applyFont="1"/>
    <xf numFmtId="0" fontId="51" fillId="11" borderId="0" xfId="9" applyFont="1" applyFill="1"/>
    <xf numFmtId="0" fontId="51" fillId="11" borderId="0" xfId="11" applyNumberFormat="1" applyFont="1" applyFill="1" applyAlignment="1">
      <alignment horizontal="center"/>
    </xf>
    <xf numFmtId="5" fontId="51" fillId="11" borderId="0" xfId="9" applyNumberFormat="1" applyFont="1" applyFill="1" applyAlignment="1">
      <alignment horizontal="center"/>
    </xf>
    <xf numFmtId="10" fontId="52" fillId="11" borderId="0" xfId="9" applyNumberFormat="1" applyFont="1" applyFill="1"/>
    <xf numFmtId="0" fontId="8" fillId="0" borderId="34" xfId="9" applyFont="1" applyBorder="1"/>
    <xf numFmtId="0" fontId="44" fillId="0" borderId="41" xfId="9" applyBorder="1"/>
    <xf numFmtId="0" fontId="44" fillId="0" borderId="35" xfId="9" applyBorder="1"/>
    <xf numFmtId="0" fontId="8" fillId="11" borderId="0" xfId="9" applyFont="1" applyFill="1"/>
    <xf numFmtId="0" fontId="8" fillId="11" borderId="0" xfId="9" applyFont="1" applyFill="1" applyAlignment="1">
      <alignment horizontal="center"/>
    </xf>
    <xf numFmtId="1" fontId="8" fillId="11" borderId="0" xfId="9" applyNumberFormat="1" applyFont="1" applyFill="1" applyAlignment="1">
      <alignment horizontal="center"/>
    </xf>
    <xf numFmtId="0" fontId="9" fillId="11" borderId="0" xfId="9" applyFont="1" applyFill="1"/>
    <xf numFmtId="0" fontId="48" fillId="0" borderId="44" xfId="9" applyFont="1" applyBorder="1"/>
    <xf numFmtId="0" fontId="48" fillId="0" borderId="0" xfId="9" applyFont="1"/>
    <xf numFmtId="0" fontId="44" fillId="0" borderId="49" xfId="9" applyBorder="1"/>
    <xf numFmtId="2" fontId="48" fillId="0" borderId="0" xfId="9" applyNumberFormat="1" applyFont="1" applyAlignment="1">
      <alignment horizontal="center"/>
    </xf>
    <xf numFmtId="2" fontId="8" fillId="11" borderId="0" xfId="9" applyNumberFormat="1" applyFont="1" applyFill="1" applyAlignment="1">
      <alignment horizontal="center"/>
    </xf>
    <xf numFmtId="2" fontId="49" fillId="11" borderId="0" xfId="9" applyNumberFormat="1" applyFont="1" applyFill="1" applyAlignment="1">
      <alignment horizontal="center"/>
    </xf>
    <xf numFmtId="0" fontId="8" fillId="11" borderId="44" xfId="9" applyFont="1" applyFill="1" applyBorder="1"/>
    <xf numFmtId="0" fontId="44" fillId="11" borderId="0" xfId="9" applyFill="1"/>
    <xf numFmtId="0" fontId="8" fillId="0" borderId="44" xfId="9" applyFont="1" applyBorder="1"/>
    <xf numFmtId="0" fontId="44" fillId="0" borderId="0" xfId="9" quotePrefix="1"/>
    <xf numFmtId="0" fontId="8" fillId="0" borderId="36" xfId="9" applyFont="1" applyBorder="1"/>
    <xf numFmtId="0" fontId="44" fillId="0" borderId="43" xfId="9" applyBorder="1"/>
    <xf numFmtId="0" fontId="44" fillId="0" borderId="37" xfId="9" applyBorder="1"/>
    <xf numFmtId="0" fontId="44" fillId="12" borderId="0" xfId="9" applyFill="1"/>
    <xf numFmtId="165" fontId="0" fillId="0" borderId="0" xfId="11" applyNumberFormat="1" applyFont="1" applyFill="1"/>
    <xf numFmtId="165" fontId="9" fillId="0" borderId="0" xfId="11" applyNumberFormat="1" applyFont="1" applyFill="1"/>
    <xf numFmtId="165" fontId="47" fillId="11" borderId="0" xfId="11" applyNumberFormat="1" applyFont="1" applyFill="1" applyAlignment="1">
      <alignment horizontal="center"/>
    </xf>
    <xf numFmtId="165" fontId="0" fillId="0" borderId="0" xfId="11" applyNumberFormat="1" applyFont="1"/>
    <xf numFmtId="165" fontId="8" fillId="11" borderId="0" xfId="11" applyNumberFormat="1" applyFont="1" applyFill="1"/>
    <xf numFmtId="165" fontId="0" fillId="11" borderId="0" xfId="11" applyNumberFormat="1" applyFont="1" applyFill="1"/>
    <xf numFmtId="0" fontId="44" fillId="11" borderId="0" xfId="9" applyFill="1" applyAlignment="1">
      <alignment horizontal="right"/>
    </xf>
    <xf numFmtId="165" fontId="0" fillId="11" borderId="13" xfId="11" applyNumberFormat="1" applyFont="1" applyFill="1" applyBorder="1"/>
    <xf numFmtId="0" fontId="11" fillId="0" borderId="0" xfId="9" applyFont="1" applyAlignment="1">
      <alignment vertical="top"/>
    </xf>
    <xf numFmtId="0" fontId="44" fillId="0" borderId="34" xfId="9" applyBorder="1"/>
    <xf numFmtId="165" fontId="0" fillId="11" borderId="6" xfId="11" applyNumberFormat="1" applyFont="1" applyFill="1" applyBorder="1" applyAlignment="1">
      <alignment horizontal="centerContinuous"/>
    </xf>
    <xf numFmtId="165" fontId="0" fillId="0" borderId="0" xfId="11" applyNumberFormat="1" applyFont="1" applyBorder="1" applyAlignment="1">
      <alignment horizontal="centerContinuous"/>
    </xf>
    <xf numFmtId="0" fontId="44" fillId="0" borderId="44" xfId="9" applyBorder="1"/>
    <xf numFmtId="165" fontId="47" fillId="0" borderId="0" xfId="11" applyNumberFormat="1" applyFont="1" applyAlignment="1">
      <alignment horizontal="centerContinuous"/>
    </xf>
    <xf numFmtId="165" fontId="0" fillId="0" borderId="0" xfId="11" applyNumberFormat="1" applyFont="1" applyAlignment="1">
      <alignment horizontal="centerContinuous"/>
    </xf>
    <xf numFmtId="165" fontId="46" fillId="0" borderId="0" xfId="11" applyNumberFormat="1" applyFont="1" applyFill="1" applyAlignment="1">
      <alignment horizontal="centerContinuous"/>
    </xf>
    <xf numFmtId="165" fontId="0" fillId="0" borderId="0" xfId="11" applyNumberFormat="1" applyFont="1" applyFill="1" applyAlignment="1">
      <alignment horizontal="centerContinuous"/>
    </xf>
    <xf numFmtId="0" fontId="8" fillId="0" borderId="0" xfId="9" quotePrefix="1" applyFont="1"/>
    <xf numFmtId="165" fontId="48" fillId="0" borderId="0" xfId="11" applyNumberFormat="1" applyFont="1" applyFill="1"/>
    <xf numFmtId="165" fontId="8" fillId="0" borderId="0" xfId="11" quotePrefix="1" applyNumberFormat="1" applyFont="1" applyFill="1"/>
    <xf numFmtId="165" fontId="8" fillId="0" borderId="0" xfId="11" applyNumberFormat="1" applyFont="1" applyFill="1"/>
    <xf numFmtId="165" fontId="8" fillId="0" borderId="0" xfId="11" quotePrefix="1" applyNumberFormat="1" applyFont="1"/>
    <xf numFmtId="0" fontId="44" fillId="0" borderId="36" xfId="9" applyBorder="1"/>
    <xf numFmtId="165" fontId="8" fillId="0" borderId="0" xfId="11" applyNumberFormat="1" applyFont="1" applyFill="1" applyAlignment="1">
      <alignment horizontal="centerContinuous"/>
    </xf>
    <xf numFmtId="165" fontId="8" fillId="0" borderId="0" xfId="11" applyNumberFormat="1" applyFont="1" applyAlignment="1">
      <alignment horizontal="centerContinuous"/>
    </xf>
    <xf numFmtId="165" fontId="47" fillId="0" borderId="0" xfId="11" applyNumberFormat="1" applyFont="1" applyFill="1" applyAlignment="1">
      <alignment horizontal="center"/>
    </xf>
    <xf numFmtId="165" fontId="9" fillId="0" borderId="0" xfId="11" quotePrefix="1" applyNumberFormat="1" applyFont="1"/>
    <xf numFmtId="165" fontId="47" fillId="0" borderId="0" xfId="11" applyNumberFormat="1" applyFont="1" applyAlignment="1">
      <alignment horizontal="center"/>
    </xf>
    <xf numFmtId="165" fontId="46" fillId="0" borderId="0" xfId="11" applyNumberFormat="1" applyFont="1" applyAlignment="1">
      <alignment horizontal="centerContinuous"/>
    </xf>
    <xf numFmtId="165" fontId="0" fillId="0" borderId="0" xfId="11" quotePrefix="1" applyNumberFormat="1" applyFont="1"/>
    <xf numFmtId="165" fontId="9" fillId="0" borderId="0" xfId="11" applyNumberFormat="1" applyFont="1"/>
    <xf numFmtId="165" fontId="0" fillId="12" borderId="0" xfId="11" applyNumberFormat="1" applyFont="1" applyFill="1"/>
    <xf numFmtId="165" fontId="9" fillId="12" borderId="0" xfId="11" applyNumberFormat="1" applyFont="1" applyFill="1"/>
    <xf numFmtId="0" fontId="10" fillId="0" borderId="0" xfId="9" applyFont="1" applyAlignment="1">
      <alignment vertical="top"/>
    </xf>
    <xf numFmtId="165" fontId="0" fillId="0" borderId="0" xfId="11" applyNumberFormat="1" applyFont="1" applyFill="1" applyBorder="1"/>
    <xf numFmtId="165" fontId="47" fillId="0" borderId="0" xfId="11" applyNumberFormat="1" applyFont="1" applyFill="1" applyAlignment="1">
      <alignment horizontal="centerContinuous"/>
    </xf>
    <xf numFmtId="165" fontId="48" fillId="0" borderId="0" xfId="11" applyNumberFormat="1" applyFont="1" applyFill="1" applyBorder="1"/>
    <xf numFmtId="165" fontId="8" fillId="0" borderId="0" xfId="11" quotePrefix="1" applyNumberFormat="1" applyFont="1" applyFill="1" applyBorder="1"/>
    <xf numFmtId="165" fontId="8" fillId="0" borderId="0" xfId="11" quotePrefix="1" applyNumberFormat="1" applyFont="1" applyBorder="1"/>
    <xf numFmtId="165" fontId="8" fillId="0" borderId="0" xfId="11" applyNumberFormat="1" applyFont="1" applyFill="1" applyBorder="1"/>
    <xf numFmtId="165" fontId="8" fillId="0" borderId="0" xfId="11" applyNumberFormat="1" applyFont="1" applyBorder="1"/>
    <xf numFmtId="165" fontId="44" fillId="0" borderId="0" xfId="9" applyNumberFormat="1"/>
    <xf numFmtId="165" fontId="8" fillId="0" borderId="0" xfId="9" applyNumberFormat="1" applyFont="1"/>
    <xf numFmtId="165" fontId="8" fillId="0" borderId="0" xfId="9" quotePrefix="1" applyNumberFormat="1" applyFont="1"/>
    <xf numFmtId="44" fontId="53" fillId="0" borderId="0" xfId="11" applyFont="1" applyFill="1" applyBorder="1" applyAlignment="1">
      <alignment horizontal="center"/>
    </xf>
    <xf numFmtId="10" fontId="53" fillId="0" borderId="0" xfId="9" applyNumberFormat="1" applyFont="1" applyAlignment="1">
      <alignment horizontal="center"/>
    </xf>
    <xf numFmtId="0" fontId="53" fillId="0" borderId="0" xfId="9" applyFont="1" applyAlignment="1">
      <alignment horizontal="center"/>
    </xf>
    <xf numFmtId="44" fontId="53" fillId="0" borderId="0" xfId="11" applyFont="1" applyBorder="1" applyAlignment="1">
      <alignment horizontal="center"/>
    </xf>
    <xf numFmtId="165" fontId="48" fillId="0" borderId="0" xfId="9" applyNumberFormat="1" applyFont="1"/>
    <xf numFmtId="41" fontId="8" fillId="0" borderId="0" xfId="9" applyNumberFormat="1" applyFont="1"/>
    <xf numFmtId="168" fontId="8" fillId="0" borderId="0" xfId="9" applyNumberFormat="1" applyFont="1"/>
    <xf numFmtId="166" fontId="8" fillId="0" borderId="0" xfId="9" applyNumberFormat="1" applyFont="1"/>
    <xf numFmtId="166" fontId="9" fillId="0" borderId="0" xfId="9" applyNumberFormat="1" applyFont="1"/>
    <xf numFmtId="49" fontId="8" fillId="0" borderId="0" xfId="9" quotePrefix="1" applyNumberFormat="1" applyFont="1"/>
    <xf numFmtId="41" fontId="8" fillId="0" borderId="0" xfId="9" applyNumberFormat="1" applyFont="1" applyAlignment="1">
      <alignment horizontal="center"/>
    </xf>
    <xf numFmtId="3" fontId="44" fillId="12" borderId="0" xfId="9" applyNumberFormat="1" applyFill="1"/>
    <xf numFmtId="37" fontId="44" fillId="12" borderId="0" xfId="9" applyNumberFormat="1" applyFill="1"/>
    <xf numFmtId="37" fontId="9" fillId="12" borderId="0" xfId="9" applyNumberFormat="1" applyFont="1" applyFill="1"/>
    <xf numFmtId="3" fontId="9" fillId="12" borderId="0" xfId="9" applyNumberFormat="1" applyFont="1" applyFill="1"/>
    <xf numFmtId="0" fontId="47" fillId="11" borderId="0" xfId="9" applyFont="1" applyFill="1" applyAlignment="1">
      <alignment horizontal="center"/>
    </xf>
    <xf numFmtId="42" fontId="8" fillId="11" borderId="0" xfId="9" applyNumberFormat="1" applyFont="1" applyFill="1"/>
    <xf numFmtId="10" fontId="44" fillId="11" borderId="0" xfId="9" applyNumberFormat="1" applyFill="1"/>
    <xf numFmtId="41" fontId="44" fillId="11" borderId="0" xfId="9" applyNumberFormat="1" applyFill="1"/>
    <xf numFmtId="42" fontId="44" fillId="11" borderId="13" xfId="9" applyNumberFormat="1" applyFill="1" applyBorder="1"/>
    <xf numFmtId="10" fontId="44" fillId="11" borderId="13" xfId="9" applyNumberFormat="1" applyFill="1" applyBorder="1"/>
    <xf numFmtId="0" fontId="44" fillId="11" borderId="6" xfId="9" applyFill="1" applyBorder="1" applyAlignment="1">
      <alignment horizontal="centerContinuous"/>
    </xf>
    <xf numFmtId="0" fontId="47" fillId="0" borderId="0" xfId="9" applyFont="1" applyAlignment="1">
      <alignment horizontal="centerContinuous"/>
    </xf>
    <xf numFmtId="0" fontId="46" fillId="0" borderId="0" xfId="9" applyFont="1" applyAlignment="1">
      <alignment horizontal="centerContinuous"/>
    </xf>
    <xf numFmtId="42" fontId="44" fillId="11" borderId="0" xfId="9" applyNumberFormat="1" applyFill="1"/>
    <xf numFmtId="42" fontId="48" fillId="0" borderId="0" xfId="9" applyNumberFormat="1" applyFont="1"/>
    <xf numFmtId="3" fontId="44" fillId="0" borderId="0" xfId="9" quotePrefix="1" applyNumberFormat="1"/>
    <xf numFmtId="42" fontId="8" fillId="0" borderId="0" xfId="9" applyNumberFormat="1" applyFont="1"/>
    <xf numFmtId="3" fontId="8" fillId="0" borderId="0" xfId="9" quotePrefix="1" applyNumberFormat="1" applyFont="1"/>
    <xf numFmtId="42" fontId="44" fillId="0" borderId="0" xfId="9" applyNumberFormat="1"/>
    <xf numFmtId="42" fontId="9" fillId="0" borderId="0" xfId="9" applyNumberFormat="1" applyFont="1"/>
    <xf numFmtId="3" fontId="9" fillId="0" borderId="0" xfId="9" quotePrefix="1" applyNumberFormat="1" applyFont="1"/>
    <xf numFmtId="0" fontId="9" fillId="12" borderId="0" xfId="9" applyFont="1" applyFill="1"/>
    <xf numFmtId="41" fontId="8" fillId="11" borderId="0" xfId="9" applyNumberFormat="1" applyFont="1" applyFill="1"/>
    <xf numFmtId="0" fontId="8" fillId="11" borderId="6" xfId="9" applyFont="1" applyFill="1" applyBorder="1" applyAlignment="1">
      <alignment horizontal="centerContinuous"/>
    </xf>
    <xf numFmtId="44" fontId="0" fillId="11" borderId="0" xfId="11" applyFont="1" applyFill="1"/>
    <xf numFmtId="37" fontId="44" fillId="0" borderId="0" xfId="9" applyNumberFormat="1"/>
    <xf numFmtId="0" fontId="47" fillId="0" borderId="0" xfId="9" applyFont="1" applyAlignment="1">
      <alignment horizontal="left"/>
    </xf>
    <xf numFmtId="0" fontId="44" fillId="0" borderId="0" xfId="9" applyAlignment="1">
      <alignment horizontal="left" indent="1"/>
    </xf>
    <xf numFmtId="165" fontId="0" fillId="0" borderId="0" xfId="11" quotePrefix="1" applyNumberFormat="1" applyFont="1" applyFill="1"/>
    <xf numFmtId="44" fontId="44" fillId="0" borderId="0" xfId="9" applyNumberFormat="1"/>
    <xf numFmtId="165" fontId="48" fillId="0" borderId="0" xfId="10" applyNumberFormat="1" applyFont="1" applyFill="1"/>
    <xf numFmtId="165" fontId="0" fillId="0" borderId="0" xfId="10" quotePrefix="1" applyNumberFormat="1" applyFont="1" applyFill="1"/>
    <xf numFmtId="165" fontId="0" fillId="11" borderId="0" xfId="10" applyNumberFormat="1" applyFont="1" applyFill="1"/>
    <xf numFmtId="165" fontId="8" fillId="0" borderId="0" xfId="10" applyNumberFormat="1" applyFont="1" applyFill="1"/>
    <xf numFmtId="0" fontId="44" fillId="12" borderId="0" xfId="9" quotePrefix="1" applyFill="1"/>
    <xf numFmtId="0" fontId="44" fillId="0" borderId="0" xfId="9" applyAlignment="1">
      <alignment horizontal="right"/>
    </xf>
    <xf numFmtId="165" fontId="0" fillId="0" borderId="13" xfId="11" applyNumberFormat="1" applyFont="1" applyBorder="1"/>
    <xf numFmtId="165" fontId="0" fillId="0" borderId="6" xfId="11" applyNumberFormat="1" applyFont="1" applyFill="1" applyBorder="1" applyAlignment="1">
      <alignment horizontal="centerContinuous"/>
    </xf>
    <xf numFmtId="165" fontId="9" fillId="0" borderId="0" xfId="11" applyNumberFormat="1" applyFont="1" applyFill="1" applyAlignment="1">
      <alignment horizontal="left"/>
    </xf>
    <xf numFmtId="165" fontId="9" fillId="0" borderId="0" xfId="11" quotePrefix="1" applyNumberFormat="1" applyFont="1" applyFill="1"/>
    <xf numFmtId="165" fontId="0" fillId="0" borderId="0" xfId="11" applyNumberFormat="1" applyFont="1" applyFill="1" applyBorder="1" applyAlignment="1">
      <alignment horizontal="centerContinuous"/>
    </xf>
    <xf numFmtId="165" fontId="0" fillId="12" borderId="0" xfId="11" quotePrefix="1" applyNumberFormat="1" applyFont="1" applyFill="1"/>
    <xf numFmtId="165" fontId="9" fillId="12" borderId="0" xfId="11" quotePrefix="1" applyNumberFormat="1" applyFont="1" applyFill="1"/>
    <xf numFmtId="165" fontId="49" fillId="11" borderId="0" xfId="11" applyNumberFormat="1" applyFont="1" applyFill="1"/>
    <xf numFmtId="44" fontId="48" fillId="0" borderId="0" xfId="11" applyFont="1" applyFill="1"/>
    <xf numFmtId="44" fontId="8" fillId="11" borderId="0" xfId="11" applyFont="1" applyFill="1"/>
    <xf numFmtId="44" fontId="8" fillId="0" borderId="0" xfId="11" applyFont="1" applyFill="1"/>
    <xf numFmtId="0" fontId="8" fillId="0" borderId="0" xfId="9" quotePrefix="1" applyFont="1" applyAlignment="1"/>
    <xf numFmtId="0" fontId="8" fillId="0" borderId="0" xfId="9" applyFont="1" applyAlignment="1">
      <alignment horizontal="left" indent="1"/>
    </xf>
    <xf numFmtId="0" fontId="8" fillId="0" borderId="0" xfId="9" quotePrefix="1" applyFont="1" applyAlignment="1">
      <alignment horizontal="left" indent="1"/>
    </xf>
    <xf numFmtId="0" fontId="3" fillId="0" borderId="0" xfId="12"/>
    <xf numFmtId="0" fontId="20" fillId="13" borderId="0" xfId="12" applyFont="1" applyFill="1"/>
    <xf numFmtId="0" fontId="25" fillId="0" borderId="0" xfId="12" applyFont="1"/>
    <xf numFmtId="0" fontId="3" fillId="0" borderId="0" xfId="12" applyAlignment="1">
      <alignment horizontal="left"/>
    </xf>
    <xf numFmtId="0" fontId="3" fillId="0" borderId="0" xfId="12" applyAlignment="1">
      <alignment horizontal="center" wrapText="1"/>
    </xf>
    <xf numFmtId="0" fontId="3" fillId="0" borderId="19" xfId="12" applyBorder="1" applyAlignment="1">
      <alignment horizontal="center" vertical="center" wrapText="1"/>
    </xf>
    <xf numFmtId="0" fontId="3" fillId="0" borderId="0" xfId="12" applyAlignment="1">
      <alignment horizontal="center" vertical="center" wrapText="1"/>
    </xf>
    <xf numFmtId="0" fontId="3" fillId="0" borderId="19" xfId="12" applyBorder="1" applyAlignment="1">
      <alignment horizontal="right"/>
    </xf>
    <xf numFmtId="44" fontId="0" fillId="0" borderId="19" xfId="13" applyFont="1" applyFill="1" applyBorder="1"/>
    <xf numFmtId="166" fontId="0" fillId="0" borderId="19" xfId="14" applyNumberFormat="1" applyFont="1" applyBorder="1"/>
    <xf numFmtId="44" fontId="0" fillId="0" borderId="19" xfId="13" applyFont="1" applyBorder="1"/>
    <xf numFmtId="166" fontId="0" fillId="0" borderId="0" xfId="14" applyNumberFormat="1" applyFont="1"/>
    <xf numFmtId="44" fontId="0" fillId="0" borderId="0" xfId="13" applyFont="1"/>
    <xf numFmtId="43" fontId="0" fillId="0" borderId="0" xfId="14" applyFont="1"/>
    <xf numFmtId="43" fontId="0" fillId="0" borderId="0" xfId="14" quotePrefix="1" applyFont="1"/>
    <xf numFmtId="10" fontId="0" fillId="0" borderId="19" xfId="15" applyNumberFormat="1" applyFont="1" applyBorder="1"/>
    <xf numFmtId="43" fontId="7" fillId="0" borderId="0" xfId="14" applyFont="1"/>
    <xf numFmtId="43" fontId="7" fillId="10" borderId="0" xfId="14" applyFont="1" applyFill="1"/>
    <xf numFmtId="43" fontId="0" fillId="0" borderId="0" xfId="14" applyFont="1" applyFill="1"/>
    <xf numFmtId="43" fontId="0" fillId="10" borderId="0" xfId="14" applyFont="1" applyFill="1"/>
    <xf numFmtId="43" fontId="0" fillId="0" borderId="19" xfId="14" applyFont="1" applyFill="1" applyBorder="1"/>
    <xf numFmtId="43" fontId="0" fillId="11" borderId="19" xfId="14" applyFont="1" applyFill="1" applyBorder="1" applyAlignment="1">
      <alignment horizontal="center"/>
    </xf>
    <xf numFmtId="43" fontId="0" fillId="11" borderId="19" xfId="14" applyFont="1" applyFill="1" applyBorder="1"/>
    <xf numFmtId="167" fontId="16" fillId="6" borderId="0" xfId="2" applyNumberFormat="1" applyFont="1" applyFill="1" applyAlignment="1" applyProtection="1">
      <alignment vertical="top"/>
    </xf>
    <xf numFmtId="0" fontId="54" fillId="0" borderId="48" xfId="0" applyFont="1" applyBorder="1" applyProtection="1"/>
    <xf numFmtId="0" fontId="54" fillId="0" borderId="48" xfId="2" applyFont="1" applyBorder="1" applyAlignment="1" applyProtection="1">
      <alignment vertical="top"/>
      <protection locked="0"/>
    </xf>
    <xf numFmtId="0" fontId="54" fillId="0" borderId="0" xfId="0" applyFont="1" applyProtection="1"/>
    <xf numFmtId="0" fontId="54" fillId="0" borderId="0" xfId="2" applyFont="1" applyAlignment="1">
      <alignment vertical="center"/>
    </xf>
    <xf numFmtId="0" fontId="55" fillId="0" borderId="0" xfId="16" applyFont="1" applyAlignment="1">
      <alignment vertical="center"/>
    </xf>
    <xf numFmtId="0" fontId="56" fillId="0" borderId="0" xfId="16" applyFont="1" applyAlignment="1">
      <alignment vertical="center"/>
    </xf>
    <xf numFmtId="0" fontId="57" fillId="0" borderId="0" xfId="16" applyFont="1" applyAlignment="1">
      <alignment vertical="top"/>
    </xf>
    <xf numFmtId="4" fontId="56" fillId="0" borderId="0" xfId="16" applyNumberFormat="1" applyFont="1" applyAlignment="1">
      <alignment vertical="center"/>
    </xf>
    <xf numFmtId="44" fontId="56" fillId="0" borderId="0" xfId="16" applyNumberFormat="1" applyFont="1" applyAlignment="1">
      <alignment vertical="center"/>
    </xf>
    <xf numFmtId="0" fontId="56" fillId="0" borderId="76" xfId="16" applyFont="1" applyBorder="1" applyAlignment="1">
      <alignment vertical="center"/>
    </xf>
    <xf numFmtId="44" fontId="56" fillId="0" borderId="76" xfId="16" applyNumberFormat="1" applyFont="1" applyBorder="1" applyAlignment="1">
      <alignment vertical="center"/>
    </xf>
    <xf numFmtId="0" fontId="55" fillId="0" borderId="6" xfId="16" applyFont="1" applyBorder="1" applyAlignment="1">
      <alignment vertical="center"/>
    </xf>
    <xf numFmtId="44" fontId="55" fillId="0" borderId="6" xfId="16" applyNumberFormat="1" applyFont="1" applyBorder="1" applyAlignment="1">
      <alignment horizontal="centerContinuous" vertical="center"/>
    </xf>
    <xf numFmtId="0" fontId="56" fillId="0" borderId="6" xfId="16" applyFont="1" applyBorder="1" applyAlignment="1">
      <alignment horizontal="left" vertical="center"/>
    </xf>
    <xf numFmtId="4" fontId="56" fillId="0" borderId="0" xfId="16" quotePrefix="1" applyNumberFormat="1" applyFont="1" applyAlignment="1">
      <alignment vertical="center"/>
    </xf>
    <xf numFmtId="0" fontId="56" fillId="0" borderId="0" xfId="16" quotePrefix="1" applyFont="1" applyAlignment="1">
      <alignment vertical="center"/>
    </xf>
    <xf numFmtId="14" fontId="56" fillId="0" borderId="0" xfId="16" quotePrefix="1" applyNumberFormat="1" applyFont="1" applyAlignment="1">
      <alignment vertical="center"/>
    </xf>
    <xf numFmtId="14" fontId="56" fillId="0" borderId="0" xfId="16" applyNumberFormat="1" applyFont="1" applyAlignment="1">
      <alignment vertical="center"/>
    </xf>
    <xf numFmtId="44" fontId="56" fillId="0" borderId="0" xfId="16" applyNumberFormat="1" applyFont="1" applyAlignment="1">
      <alignment horizontal="right" vertical="center"/>
    </xf>
    <xf numFmtId="0" fontId="56" fillId="0" borderId="0" xfId="16" applyFont="1" applyAlignment="1">
      <alignment horizontal="left" vertical="center"/>
    </xf>
    <xf numFmtId="0" fontId="56" fillId="0" borderId="0" xfId="16" applyFont="1" applyAlignment="1">
      <alignment horizontal="right" vertical="center"/>
    </xf>
    <xf numFmtId="169" fontId="56" fillId="0" borderId="0" xfId="16" applyNumberFormat="1" applyFont="1" applyAlignment="1">
      <alignment vertical="center"/>
    </xf>
    <xf numFmtId="10" fontId="56" fillId="0" borderId="0" xfId="16" applyNumberFormat="1" applyFont="1" applyAlignment="1">
      <alignment vertical="center"/>
    </xf>
    <xf numFmtId="169" fontId="56" fillId="10" borderId="0" xfId="16" applyNumberFormat="1" applyFont="1" applyFill="1" applyAlignment="1">
      <alignment vertical="center"/>
    </xf>
    <xf numFmtId="0" fontId="58" fillId="0" borderId="0" xfId="16" applyFont="1" applyAlignment="1">
      <alignment vertical="center"/>
    </xf>
    <xf numFmtId="44" fontId="58" fillId="0" borderId="0" xfId="16" applyNumberFormat="1" applyFont="1" applyAlignment="1">
      <alignment horizontal="right" vertical="center"/>
    </xf>
    <xf numFmtId="0" fontId="58" fillId="0" borderId="0" xfId="16" applyFont="1" applyAlignment="1">
      <alignment horizontal="left" vertical="center"/>
    </xf>
    <xf numFmtId="44" fontId="56" fillId="0" borderId="0" xfId="16" applyNumberFormat="1" applyFont="1" applyAlignment="1">
      <alignment horizontal="left" vertical="center"/>
    </xf>
    <xf numFmtId="0" fontId="56" fillId="10" borderId="0" xfId="16" applyFont="1" applyFill="1" applyAlignment="1">
      <alignment vertical="center"/>
    </xf>
    <xf numFmtId="0" fontId="58" fillId="14" borderId="0" xfId="16" applyFont="1" applyFill="1" applyAlignment="1">
      <alignment vertical="center"/>
    </xf>
    <xf numFmtId="1" fontId="56" fillId="10" borderId="0" xfId="16" applyNumberFormat="1" applyFont="1" applyFill="1" applyAlignment="1">
      <alignment vertical="center"/>
    </xf>
    <xf numFmtId="0" fontId="58" fillId="0" borderId="0" xfId="16" applyFont="1" applyAlignment="1">
      <alignment horizontal="centerContinuous" vertical="center"/>
    </xf>
    <xf numFmtId="0" fontId="56" fillId="14" borderId="0" xfId="16" applyFont="1" applyFill="1" applyAlignment="1">
      <alignment vertical="center"/>
    </xf>
    <xf numFmtId="0" fontId="56" fillId="0" borderId="0" xfId="16" applyFont="1" applyAlignment="1">
      <alignment horizontal="centerContinuous" vertical="center"/>
    </xf>
    <xf numFmtId="4" fontId="56" fillId="15" borderId="0" xfId="16" applyNumberFormat="1" applyFont="1" applyFill="1" applyAlignment="1">
      <alignment vertical="center"/>
    </xf>
    <xf numFmtId="0" fontId="2" fillId="0" borderId="0" xfId="16"/>
    <xf numFmtId="167" fontId="56" fillId="0" borderId="0" xfId="16" applyNumberFormat="1" applyFont="1" applyAlignment="1">
      <alignment horizontal="right" vertical="center"/>
    </xf>
    <xf numFmtId="2" fontId="56" fillId="0" borderId="0" xfId="16" applyNumberFormat="1" applyFont="1" applyAlignment="1">
      <alignment vertical="center"/>
    </xf>
    <xf numFmtId="1" fontId="56" fillId="0" borderId="0" xfId="16" applyNumberFormat="1" applyFont="1" applyAlignment="1">
      <alignment vertical="center"/>
    </xf>
    <xf numFmtId="44" fontId="56" fillId="0" borderId="6" xfId="16" applyNumberFormat="1" applyFont="1" applyBorder="1" applyAlignment="1">
      <alignment horizontal="left" vertical="center"/>
    </xf>
    <xf numFmtId="0" fontId="56" fillId="0" borderId="76" xfId="16" applyFont="1" applyBorder="1" applyAlignment="1">
      <alignment horizontal="left" vertical="center"/>
    </xf>
    <xf numFmtId="0" fontId="57" fillId="0" borderId="0" xfId="16" applyFont="1" applyAlignment="1">
      <alignment horizontal="right" vertical="top"/>
    </xf>
    <xf numFmtId="0" fontId="55" fillId="0" borderId="6" xfId="16" applyFont="1" applyBorder="1" applyAlignment="1">
      <alignment horizontal="centerContinuous" vertical="center"/>
    </xf>
    <xf numFmtId="1" fontId="56" fillId="10" borderId="0" xfId="16" applyNumberFormat="1" applyFont="1" applyFill="1" applyAlignment="1">
      <alignment horizontal="left" vertical="center"/>
    </xf>
    <xf numFmtId="0" fontId="56" fillId="11" borderId="0" xfId="16" applyFont="1" applyFill="1" applyAlignment="1">
      <alignment vertical="center"/>
    </xf>
    <xf numFmtId="167" fontId="56" fillId="0" borderId="0" xfId="16" applyNumberFormat="1" applyFont="1" applyAlignment="1">
      <alignment horizontal="left" vertical="center"/>
    </xf>
    <xf numFmtId="0" fontId="63" fillId="0" borderId="0" xfId="16" applyFont="1" applyAlignment="1">
      <alignment vertical="center"/>
    </xf>
    <xf numFmtId="167" fontId="63" fillId="0" borderId="0" xfId="16" applyNumberFormat="1" applyFont="1" applyAlignment="1">
      <alignment horizontal="right" vertical="center"/>
    </xf>
    <xf numFmtId="1" fontId="56" fillId="0" borderId="0" xfId="16" applyNumberFormat="1" applyFont="1" applyAlignment="1">
      <alignment horizontal="left" vertical="center"/>
    </xf>
    <xf numFmtId="167" fontId="63" fillId="0" borderId="0" xfId="16" applyNumberFormat="1" applyFont="1" applyAlignment="1">
      <alignment horizontal="left" vertical="center"/>
    </xf>
    <xf numFmtId="0" fontId="56" fillId="10" borderId="0" xfId="16" applyFont="1" applyFill="1" applyAlignment="1">
      <alignment horizontal="left" vertical="center"/>
    </xf>
    <xf numFmtId="0" fontId="56" fillId="0" borderId="6" xfId="16" applyFont="1" applyBorder="1" applyAlignment="1">
      <alignment vertical="center"/>
    </xf>
    <xf numFmtId="167" fontId="56" fillId="0" borderId="6" xfId="16" applyNumberFormat="1" applyFont="1" applyBorder="1" applyAlignment="1">
      <alignment horizontal="right" vertical="center"/>
    </xf>
    <xf numFmtId="0" fontId="0" fillId="0" borderId="6" xfId="0" applyBorder="1"/>
    <xf numFmtId="16" fontId="0" fillId="0" borderId="0" xfId="0" quotePrefix="1" applyNumberFormat="1" applyAlignment="1">
      <alignment horizontal="left"/>
    </xf>
    <xf numFmtId="44" fontId="0" fillId="0" borderId="0" xfId="1" applyFont="1"/>
    <xf numFmtId="165" fontId="0" fillId="0" borderId="0" xfId="1" applyNumberFormat="1" applyFont="1"/>
    <xf numFmtId="0" fontId="0" fillId="0" borderId="0" xfId="0" quotePrefix="1" applyAlignment="1">
      <alignment horizontal="left"/>
    </xf>
    <xf numFmtId="0" fontId="0" fillId="0" borderId="0" xfId="0" applyAlignment="1">
      <alignment horizontal="left"/>
    </xf>
    <xf numFmtId="12" fontId="0" fillId="0" borderId="0" xfId="0" applyNumberFormat="1" applyAlignment="1">
      <alignment horizontal="left"/>
    </xf>
    <xf numFmtId="167" fontId="16" fillId="0" borderId="0" xfId="2" applyNumberFormat="1" applyFont="1" applyFill="1" applyAlignment="1">
      <alignment horizontal="center" vertical="top"/>
    </xf>
    <xf numFmtId="167" fontId="16" fillId="0" borderId="16" xfId="2" applyNumberFormat="1" applyFont="1" applyFill="1" applyBorder="1" applyAlignment="1">
      <alignment horizontal="center" vertical="top"/>
    </xf>
    <xf numFmtId="0" fontId="15" fillId="0" borderId="6" xfId="2" applyFont="1" applyBorder="1" applyAlignment="1" applyProtection="1">
      <alignment vertical="top"/>
    </xf>
    <xf numFmtId="0" fontId="15" fillId="0" borderId="6" xfId="2" applyFont="1" applyBorder="1" applyAlignment="1" applyProtection="1">
      <alignment horizontal="center" vertical="top"/>
    </xf>
    <xf numFmtId="164" fontId="17" fillId="0" borderId="6" xfId="2" applyNumberFormat="1" applyFont="1" applyBorder="1" applyAlignment="1" applyProtection="1">
      <alignment horizontal="center" vertical="center"/>
    </xf>
    <xf numFmtId="164" fontId="17" fillId="0" borderId="77" xfId="2" applyNumberFormat="1" applyFont="1" applyBorder="1" applyAlignment="1" applyProtection="1">
      <alignment horizontal="center" vertical="center"/>
    </xf>
    <xf numFmtId="0" fontId="32" fillId="0" borderId="6" xfId="2" applyFont="1" applyBorder="1" applyAlignment="1" applyProtection="1">
      <alignment horizontal="center" vertical="top"/>
    </xf>
    <xf numFmtId="0" fontId="17" fillId="0" borderId="0" xfId="2" applyFont="1" applyAlignment="1" applyProtection="1">
      <alignment horizontal="right"/>
      <protection locked="0"/>
    </xf>
    <xf numFmtId="0" fontId="16" fillId="0" borderId="36" xfId="0" applyFont="1" applyBorder="1" applyProtection="1">
      <protection locked="0"/>
    </xf>
    <xf numFmtId="0" fontId="16" fillId="0" borderId="43" xfId="0" applyFont="1" applyBorder="1" applyProtection="1">
      <protection locked="0"/>
    </xf>
    <xf numFmtId="0" fontId="17" fillId="0" borderId="43" xfId="2" applyFont="1" applyBorder="1" applyAlignment="1" applyProtection="1">
      <alignment horizontal="right" vertical="center"/>
      <protection locked="0"/>
    </xf>
    <xf numFmtId="0" fontId="17" fillId="0" borderId="43" xfId="2" applyFont="1" applyBorder="1" applyAlignment="1" applyProtection="1">
      <alignment horizontal="right"/>
      <protection locked="0"/>
    </xf>
    <xf numFmtId="0" fontId="16" fillId="0" borderId="0" xfId="0" applyFont="1" applyAlignment="1" applyProtection="1">
      <alignment horizontal="center"/>
      <protection locked="0"/>
    </xf>
    <xf numFmtId="0" fontId="16" fillId="0" borderId="1" xfId="2" applyFont="1" applyBorder="1" applyAlignment="1" applyProtection="1">
      <alignment horizontal="center" wrapText="1"/>
      <protection locked="0"/>
    </xf>
    <xf numFmtId="0" fontId="16" fillId="0" borderId="1" xfId="2" applyFont="1" applyBorder="1" applyAlignment="1" applyProtection="1">
      <alignment horizontal="center"/>
      <protection locked="0"/>
    </xf>
    <xf numFmtId="164" fontId="16" fillId="0" borderId="1" xfId="2" applyNumberFormat="1" applyFont="1" applyBorder="1" applyAlignment="1" applyProtection="1">
      <alignment horizontal="center"/>
      <protection locked="0"/>
    </xf>
    <xf numFmtId="0" fontId="16" fillId="0" borderId="18" xfId="2" applyFont="1" applyBorder="1" applyAlignment="1" applyProtection="1">
      <alignment horizontal="center" wrapText="1"/>
      <protection locked="0"/>
    </xf>
    <xf numFmtId="164" fontId="16" fillId="0" borderId="17" xfId="2" applyNumberFormat="1" applyFont="1" applyBorder="1" applyAlignment="1" applyProtection="1">
      <alignment horizontal="center"/>
      <protection locked="0"/>
    </xf>
    <xf numFmtId="0" fontId="16" fillId="0" borderId="3" xfId="2" applyFont="1" applyBorder="1" applyAlignment="1" applyProtection="1">
      <alignment horizontal="center" vertical="center"/>
      <protection locked="0"/>
    </xf>
    <xf numFmtId="0" fontId="16" fillId="5" borderId="27" xfId="2" applyFont="1" applyFill="1" applyBorder="1" applyAlignment="1" applyProtection="1">
      <alignment horizontal="center" vertical="center"/>
      <protection locked="0"/>
    </xf>
    <xf numFmtId="0" fontId="16" fillId="2" borderId="27" xfId="2" applyFont="1" applyFill="1" applyBorder="1" applyAlignment="1" applyProtection="1">
      <alignment horizontal="center" vertical="center"/>
      <protection locked="0"/>
    </xf>
    <xf numFmtId="164" fontId="16" fillId="0" borderId="0" xfId="2" applyNumberFormat="1" applyFont="1" applyAlignment="1" applyProtection="1">
      <alignment horizontal="center" vertical="center"/>
      <protection locked="0"/>
    </xf>
    <xf numFmtId="44" fontId="16" fillId="0" borderId="0" xfId="1" applyFont="1" applyFill="1" applyBorder="1" applyAlignment="1" applyProtection="1">
      <alignment horizontal="center" vertical="center"/>
    </xf>
    <xf numFmtId="165" fontId="17" fillId="6" borderId="19" xfId="1" applyNumberFormat="1" applyFont="1" applyFill="1" applyBorder="1" applyAlignment="1" applyProtection="1">
      <alignment horizontal="center" vertical="center"/>
    </xf>
    <xf numFmtId="0" fontId="16" fillId="0" borderId="0" xfId="0" applyFont="1" applyAlignment="1" applyProtection="1">
      <alignment vertical="center"/>
      <protection locked="0"/>
    </xf>
    <xf numFmtId="166" fontId="16" fillId="0" borderId="3" xfId="6" applyNumberFormat="1" applyFont="1" applyFill="1" applyBorder="1" applyAlignment="1" applyProtection="1">
      <alignment horizontal="center" vertical="center"/>
      <protection locked="0"/>
    </xf>
    <xf numFmtId="167" fontId="16" fillId="0" borderId="19" xfId="2" applyNumberFormat="1" applyFont="1" applyBorder="1" applyAlignment="1">
      <alignment horizontal="center" vertical="center"/>
    </xf>
    <xf numFmtId="0" fontId="16" fillId="0" borderId="0" xfId="2" applyFont="1" applyAlignment="1" applyProtection="1">
      <alignment horizontal="center" vertical="center"/>
      <protection locked="0"/>
    </xf>
    <xf numFmtId="44" fontId="17" fillId="6" borderId="19" xfId="1" applyFont="1" applyFill="1" applyBorder="1" applyAlignment="1" applyProtection="1">
      <alignment horizontal="center" vertical="center"/>
    </xf>
    <xf numFmtId="0" fontId="16" fillId="5" borderId="19" xfId="2" applyFont="1" applyFill="1" applyBorder="1" applyAlignment="1" applyProtection="1">
      <alignment horizontal="center" vertical="center"/>
      <protection locked="0"/>
    </xf>
    <xf numFmtId="167" fontId="16" fillId="0" borderId="0" xfId="2" applyNumberFormat="1" applyFont="1" applyAlignment="1">
      <alignment horizontal="center" vertical="center"/>
    </xf>
    <xf numFmtId="166" fontId="16" fillId="5" borderId="19" xfId="6" applyNumberFormat="1" applyFont="1" applyFill="1" applyBorder="1" applyAlignment="1" applyProtection="1">
      <alignment horizontal="center" vertical="center"/>
      <protection locked="0"/>
    </xf>
    <xf numFmtId="166" fontId="16" fillId="0" borderId="5" xfId="6" applyNumberFormat="1" applyFont="1" applyFill="1" applyBorder="1" applyAlignment="1" applyProtection="1">
      <alignment horizontal="center" vertical="center"/>
      <protection locked="0"/>
    </xf>
    <xf numFmtId="0" fontId="16" fillId="0" borderId="6" xfId="2" applyFont="1" applyBorder="1" applyAlignment="1" applyProtection="1">
      <alignment horizontal="center" vertical="center"/>
      <protection locked="0"/>
    </xf>
    <xf numFmtId="44" fontId="16" fillId="0" borderId="0" xfId="0" applyNumberFormat="1" applyFont="1" applyAlignment="1" applyProtection="1">
      <alignment vertical="center"/>
      <protection locked="0"/>
    </xf>
    <xf numFmtId="0" fontId="17" fillId="0" borderId="13" xfId="2" applyFont="1" applyBorder="1" applyAlignment="1" applyProtection="1">
      <alignment vertical="center"/>
      <protection locked="0"/>
    </xf>
    <xf numFmtId="0" fontId="33" fillId="0" borderId="13" xfId="2" applyFont="1" applyBorder="1" applyAlignment="1" applyProtection="1">
      <alignment horizontal="center" vertical="center"/>
      <protection locked="0"/>
    </xf>
    <xf numFmtId="0" fontId="16" fillId="0" borderId="16" xfId="2" applyFont="1" applyBorder="1" applyAlignment="1" applyProtection="1">
      <alignment horizontal="center" vertical="center"/>
      <protection locked="0"/>
    </xf>
    <xf numFmtId="164" fontId="27" fillId="6" borderId="13" xfId="2" applyNumberFormat="1" applyFont="1" applyFill="1" applyBorder="1" applyAlignment="1">
      <alignment vertical="center"/>
    </xf>
    <xf numFmtId="0" fontId="1" fillId="0" borderId="43" xfId="17" applyBorder="1"/>
    <xf numFmtId="0" fontId="1" fillId="0" borderId="43" xfId="17" applyBorder="1" applyAlignment="1">
      <alignment horizontal="right" vertical="top" wrapText="1" indent="8"/>
    </xf>
    <xf numFmtId="0" fontId="1" fillId="0" borderId="43" xfId="17" applyBorder="1" applyAlignment="1">
      <alignment horizontal="center"/>
    </xf>
    <xf numFmtId="0" fontId="12" fillId="0" borderId="43" xfId="17" applyFont="1" applyBorder="1" applyAlignment="1">
      <alignment horizontal="right" wrapText="1"/>
    </xf>
    <xf numFmtId="0" fontId="1" fillId="0" borderId="0" xfId="17"/>
    <xf numFmtId="0" fontId="1" fillId="0" borderId="0" xfId="17" applyAlignment="1">
      <alignment horizontal="center" wrapText="1"/>
    </xf>
    <xf numFmtId="0" fontId="28" fillId="0" borderId="59" xfId="17" applyFont="1" applyBorder="1" applyAlignment="1">
      <alignment horizontal="left" wrapText="1"/>
    </xf>
    <xf numFmtId="0" fontId="16" fillId="0" borderId="0" xfId="17" applyFont="1" applyAlignment="1">
      <alignment horizontal="right" wrapText="1"/>
    </xf>
    <xf numFmtId="0" fontId="15" fillId="5" borderId="62" xfId="18" applyFont="1" applyFill="1" applyBorder="1" applyAlignment="1">
      <alignment horizontal="center" vertical="top" wrapText="1"/>
    </xf>
    <xf numFmtId="0" fontId="1" fillId="0" borderId="0" xfId="17" applyAlignment="1">
      <alignment wrapText="1"/>
    </xf>
    <xf numFmtId="0" fontId="28" fillId="0" borderId="63" xfId="17" applyFont="1" applyBorder="1" applyAlignment="1">
      <alignment horizontal="left" vertical="top" wrapText="1"/>
    </xf>
    <xf numFmtId="0" fontId="25" fillId="6" borderId="0" xfId="17" applyFont="1" applyFill="1" applyAlignment="1">
      <alignment horizontal="left" vertical="top" wrapText="1"/>
    </xf>
    <xf numFmtId="0" fontId="25" fillId="0" borderId="0" xfId="17" applyFont="1" applyAlignment="1">
      <alignment horizontal="right" wrapText="1"/>
    </xf>
    <xf numFmtId="0" fontId="28" fillId="0" borderId="64" xfId="17" applyFont="1" applyBorder="1" applyAlignment="1">
      <alignment horizontal="left" wrapText="1"/>
    </xf>
    <xf numFmtId="0" fontId="25" fillId="6" borderId="43" xfId="17" applyFont="1" applyFill="1" applyBorder="1" applyAlignment="1">
      <alignment horizontal="left" vertical="top" wrapText="1"/>
    </xf>
    <xf numFmtId="0" fontId="25" fillId="0" borderId="43" xfId="17" applyFont="1" applyBorder="1" applyAlignment="1">
      <alignment horizontal="right" wrapText="1"/>
    </xf>
    <xf numFmtId="0" fontId="1" fillId="5" borderId="62" xfId="17" applyFill="1" applyBorder="1" applyAlignment="1">
      <alignment horizontal="center"/>
    </xf>
    <xf numFmtId="14" fontId="28" fillId="0" borderId="37" xfId="17" applyNumberFormat="1" applyFont="1" applyBorder="1" applyAlignment="1">
      <alignment horizontal="center" vertical="top" wrapText="1"/>
    </xf>
    <xf numFmtId="0" fontId="1" fillId="0" borderId="16" xfId="17" applyBorder="1"/>
    <xf numFmtId="0" fontId="1" fillId="0" borderId="16" xfId="17" applyBorder="1" applyAlignment="1">
      <alignment horizontal="right" vertical="top" wrapText="1"/>
    </xf>
    <xf numFmtId="0" fontId="1" fillId="0" borderId="0" xfId="17" applyAlignment="1">
      <alignment horizontal="center"/>
    </xf>
    <xf numFmtId="0" fontId="1" fillId="0" borderId="0" xfId="17" applyAlignment="1">
      <alignment horizontal="right"/>
    </xf>
    <xf numFmtId="0" fontId="28" fillId="0" borderId="1" xfId="17" applyFont="1" applyBorder="1" applyAlignment="1">
      <alignment horizontal="center" vertical="center" wrapText="1"/>
    </xf>
    <xf numFmtId="0" fontId="28" fillId="0" borderId="11" xfId="17" applyFont="1" applyBorder="1" applyAlignment="1">
      <alignment horizontal="center" vertical="center" wrapText="1"/>
    </xf>
    <xf numFmtId="0" fontId="28" fillId="0" borderId="11" xfId="17" applyFont="1" applyBorder="1" applyAlignment="1">
      <alignment horizontal="right" vertical="center" wrapText="1"/>
    </xf>
    <xf numFmtId="0" fontId="28" fillId="0" borderId="7" xfId="17" applyFont="1" applyBorder="1" applyAlignment="1">
      <alignment horizontal="center" wrapText="1"/>
    </xf>
    <xf numFmtId="0" fontId="28" fillId="0" borderId="27" xfId="17" applyFont="1" applyBorder="1" applyAlignment="1">
      <alignment horizontal="left"/>
    </xf>
    <xf numFmtId="0" fontId="28" fillId="0" borderId="15" xfId="17" applyFont="1" applyBorder="1" applyAlignment="1">
      <alignment horizontal="center" wrapText="1"/>
    </xf>
    <xf numFmtId="0" fontId="28" fillId="0" borderId="19" xfId="17" applyFont="1" applyBorder="1" applyAlignment="1">
      <alignment horizontal="left"/>
    </xf>
    <xf numFmtId="0" fontId="28" fillId="0" borderId="19" xfId="17" applyFont="1" applyBorder="1" applyAlignment="1">
      <alignment horizontal="left" wrapText="1"/>
    </xf>
    <xf numFmtId="0" fontId="7" fillId="0" borderId="0" xfId="17" applyFont="1"/>
    <xf numFmtId="0" fontId="28" fillId="0" borderId="19" xfId="17" applyFont="1" applyBorder="1" applyAlignment="1">
      <alignment horizontal="center" wrapText="1"/>
    </xf>
    <xf numFmtId="0" fontId="28" fillId="0" borderId="26" xfId="17" applyFont="1" applyBorder="1" applyAlignment="1">
      <alignment horizontal="left"/>
    </xf>
    <xf numFmtId="0" fontId="28" fillId="0" borderId="19" xfId="17" applyFont="1" applyBorder="1" applyAlignment="1">
      <alignment horizontal="center"/>
    </xf>
    <xf numFmtId="0" fontId="28" fillId="0" borderId="0" xfId="17" applyFont="1"/>
    <xf numFmtId="0" fontId="28" fillId="0" borderId="0" xfId="17" applyFont="1" applyAlignment="1">
      <alignment horizontal="left"/>
    </xf>
    <xf numFmtId="0" fontId="28" fillId="0" borderId="0" xfId="17" applyFont="1" applyAlignment="1">
      <alignment horizontal="center"/>
    </xf>
    <xf numFmtId="0" fontId="25" fillId="0" borderId="27" xfId="17" applyFont="1" applyBorder="1" applyAlignment="1">
      <alignment horizontal="center"/>
    </xf>
    <xf numFmtId="8" fontId="28" fillId="0" borderId="19" xfId="17" applyNumberFormat="1" applyFont="1" applyBorder="1" applyAlignment="1">
      <alignment horizontal="right"/>
    </xf>
    <xf numFmtId="0" fontId="13" fillId="0" borderId="0" xfId="17" applyFont="1" applyAlignment="1">
      <alignment horizontal="left"/>
    </xf>
    <xf numFmtId="0" fontId="28" fillId="0" borderId="0" xfId="17" applyFont="1" applyAlignment="1">
      <alignment vertical="center"/>
    </xf>
    <xf numFmtId="0" fontId="1" fillId="0" borderId="0" xfId="17" applyAlignment="1">
      <alignment vertical="center"/>
    </xf>
    <xf numFmtId="0" fontId="28" fillId="0" borderId="0" xfId="17" applyFont="1" applyAlignment="1">
      <alignment horizontal="center" vertical="center"/>
    </xf>
    <xf numFmtId="0" fontId="28" fillId="0" borderId="0" xfId="17" applyFont="1" applyAlignment="1">
      <alignment horizontal="right" vertical="center"/>
    </xf>
    <xf numFmtId="0" fontId="12" fillId="0" borderId="0" xfId="17" applyFont="1" applyAlignment="1">
      <alignment vertical="center"/>
    </xf>
    <xf numFmtId="0" fontId="1" fillId="0" borderId="0" xfId="17" applyAlignment="1">
      <alignment horizontal="left"/>
    </xf>
    <xf numFmtId="0" fontId="16" fillId="0" borderId="3" xfId="0" applyFont="1" applyBorder="1" applyAlignment="1" applyProtection="1">
      <alignment horizontal="left" vertical="center"/>
    </xf>
    <xf numFmtId="0" fontId="16" fillId="0" borderId="4" xfId="0" applyFont="1" applyBorder="1" applyAlignment="1" applyProtection="1">
      <alignment horizontal="left" vertical="center"/>
    </xf>
    <xf numFmtId="0" fontId="14" fillId="7" borderId="34" xfId="0" applyFont="1" applyFill="1" applyBorder="1" applyAlignment="1" applyProtection="1">
      <alignment horizontal="center"/>
    </xf>
    <xf numFmtId="0" fontId="14" fillId="7" borderId="41" xfId="0" applyFont="1" applyFill="1" applyBorder="1" applyAlignment="1" applyProtection="1">
      <alignment horizontal="center"/>
    </xf>
    <xf numFmtId="0" fontId="14" fillId="7" borderId="35" xfId="0" applyFont="1" applyFill="1" applyBorder="1" applyAlignment="1" applyProtection="1">
      <alignment horizontal="center"/>
    </xf>
    <xf numFmtId="0" fontId="22" fillId="7" borderId="36" xfId="0" applyFont="1" applyFill="1" applyBorder="1" applyAlignment="1" applyProtection="1">
      <alignment horizontal="center"/>
    </xf>
    <xf numFmtId="0" fontId="22" fillId="7" borderId="43" xfId="0" applyFont="1" applyFill="1" applyBorder="1" applyAlignment="1" applyProtection="1">
      <alignment horizontal="center"/>
    </xf>
    <xf numFmtId="0" fontId="22" fillId="7" borderId="37" xfId="0" applyFont="1" applyFill="1" applyBorder="1" applyAlignment="1" applyProtection="1">
      <alignment horizontal="center"/>
    </xf>
    <xf numFmtId="0" fontId="14" fillId="7" borderId="36" xfId="0" applyFont="1" applyFill="1" applyBorder="1" applyAlignment="1" applyProtection="1">
      <alignment horizontal="center" vertical="top"/>
    </xf>
    <xf numFmtId="0" fontId="14" fillId="7" borderId="43" xfId="0" applyFont="1" applyFill="1" applyBorder="1" applyAlignment="1" applyProtection="1">
      <alignment horizontal="center" vertical="top"/>
    </xf>
    <xf numFmtId="0" fontId="14" fillId="7" borderId="37" xfId="0" applyFont="1" applyFill="1" applyBorder="1" applyAlignment="1" applyProtection="1">
      <alignment horizontal="center" vertical="top"/>
    </xf>
    <xf numFmtId="0" fontId="17" fillId="4" borderId="57" xfId="0" applyFont="1" applyFill="1" applyBorder="1" applyAlignment="1" applyProtection="1">
      <alignment horizontal="left"/>
      <protection locked="0"/>
    </xf>
    <xf numFmtId="0" fontId="17" fillId="4" borderId="58" xfId="0" applyFont="1" applyFill="1" applyBorder="1" applyAlignment="1" applyProtection="1">
      <alignment horizontal="left"/>
      <protection locked="0"/>
    </xf>
    <xf numFmtId="0" fontId="17" fillId="4" borderId="14" xfId="0" applyFont="1" applyFill="1" applyBorder="1" applyAlignment="1" applyProtection="1">
      <alignment horizontal="left"/>
      <protection locked="0"/>
    </xf>
    <xf numFmtId="0" fontId="17" fillId="4" borderId="15" xfId="0" applyFont="1" applyFill="1" applyBorder="1" applyAlignment="1" applyProtection="1">
      <alignment horizontal="left"/>
      <protection locked="0"/>
    </xf>
    <xf numFmtId="0" fontId="16" fillId="0" borderId="40" xfId="0" applyFont="1" applyFill="1" applyBorder="1" applyAlignment="1" applyProtection="1">
      <alignment horizontal="center" vertical="center"/>
    </xf>
    <xf numFmtId="0" fontId="16" fillId="0" borderId="3" xfId="0" applyFont="1" applyFill="1" applyBorder="1" applyAlignment="1" applyProtection="1">
      <alignment horizontal="center" vertical="center"/>
    </xf>
    <xf numFmtId="0" fontId="16" fillId="0" borderId="42" xfId="0" applyFont="1" applyFill="1" applyBorder="1" applyAlignment="1" applyProtection="1">
      <alignment horizontal="center" vertical="center"/>
    </xf>
    <xf numFmtId="0" fontId="16" fillId="0" borderId="3" xfId="0" applyFont="1" applyFill="1" applyBorder="1" applyAlignment="1" applyProtection="1">
      <alignment horizontal="left" vertical="top" wrapText="1"/>
    </xf>
    <xf numFmtId="0" fontId="15" fillId="0" borderId="42" xfId="0" applyFont="1" applyFill="1" applyBorder="1" applyAlignment="1" applyProtection="1">
      <alignment horizontal="left" vertical="top" wrapText="1"/>
    </xf>
    <xf numFmtId="0" fontId="15" fillId="0" borderId="40" xfId="0" applyFont="1" applyFill="1" applyBorder="1" applyAlignment="1" applyProtection="1">
      <alignment horizontal="center"/>
    </xf>
    <xf numFmtId="0" fontId="15" fillId="0" borderId="3" xfId="0" applyFont="1" applyFill="1" applyBorder="1" applyAlignment="1" applyProtection="1">
      <alignment horizontal="center"/>
    </xf>
    <xf numFmtId="0" fontId="15" fillId="0" borderId="42" xfId="0" applyFont="1" applyFill="1" applyBorder="1" applyAlignment="1" applyProtection="1">
      <alignment horizontal="center"/>
    </xf>
    <xf numFmtId="0" fontId="16" fillId="0" borderId="40" xfId="0" applyFont="1" applyFill="1" applyBorder="1" applyAlignment="1" applyProtection="1">
      <alignment horizontal="left" vertical="top" wrapText="1"/>
    </xf>
    <xf numFmtId="0" fontId="22" fillId="7" borderId="30" xfId="0" applyFont="1" applyFill="1" applyBorder="1" applyAlignment="1" applyProtection="1">
      <alignment horizontal="center"/>
    </xf>
    <xf numFmtId="0" fontId="22" fillId="7" borderId="32" xfId="0" applyFont="1" applyFill="1" applyBorder="1" applyAlignment="1" applyProtection="1">
      <alignment horizontal="center"/>
    </xf>
    <xf numFmtId="0" fontId="22" fillId="7" borderId="30" xfId="0" applyFont="1" applyFill="1" applyBorder="1" applyAlignment="1" applyProtection="1">
      <alignment horizontal="center" vertical="center" wrapText="1"/>
    </xf>
    <xf numFmtId="0" fontId="22" fillId="7" borderId="32" xfId="0" applyFont="1" applyFill="1" applyBorder="1" applyAlignment="1" applyProtection="1">
      <alignment horizontal="center" vertical="center" wrapText="1"/>
    </xf>
    <xf numFmtId="0" fontId="16" fillId="0" borderId="41" xfId="0" applyFont="1" applyBorder="1" applyAlignment="1" applyProtection="1">
      <alignment horizontal="left" vertical="center"/>
    </xf>
    <xf numFmtId="0" fontId="16" fillId="0" borderId="45" xfId="0" applyFont="1" applyBorder="1" applyAlignment="1" applyProtection="1">
      <alignment horizontal="left" vertical="center"/>
    </xf>
    <xf numFmtId="0" fontId="24" fillId="0" borderId="0" xfId="0" applyFont="1" applyFill="1" applyBorder="1" applyAlignment="1" applyProtection="1">
      <alignment horizontal="left" vertical="center" wrapText="1"/>
    </xf>
    <xf numFmtId="0" fontId="15" fillId="5" borderId="3" xfId="0" applyFont="1" applyFill="1" applyBorder="1" applyAlignment="1" applyProtection="1">
      <alignment horizontal="left" indent="2"/>
    </xf>
    <xf numFmtId="0" fontId="15" fillId="5" borderId="0" xfId="0" applyFont="1" applyFill="1" applyBorder="1" applyAlignment="1" applyProtection="1">
      <alignment horizontal="left" indent="2"/>
    </xf>
    <xf numFmtId="0" fontId="15" fillId="5" borderId="4" xfId="0" applyFont="1" applyFill="1" applyBorder="1" applyAlignment="1" applyProtection="1">
      <alignment horizontal="left" indent="2"/>
    </xf>
    <xf numFmtId="0" fontId="15" fillId="5" borderId="5" xfId="0" applyFont="1" applyFill="1" applyBorder="1" applyAlignment="1" applyProtection="1">
      <alignment horizontal="left" indent="2"/>
    </xf>
    <xf numFmtId="0" fontId="15" fillId="5" borderId="6" xfId="0" applyFont="1" applyFill="1" applyBorder="1" applyAlignment="1" applyProtection="1">
      <alignment horizontal="left" indent="2"/>
    </xf>
    <xf numFmtId="0" fontId="15" fillId="5" borderId="7" xfId="0" applyFont="1" applyFill="1" applyBorder="1" applyAlignment="1" applyProtection="1">
      <alignment horizontal="left" indent="2"/>
    </xf>
    <xf numFmtId="0" fontId="15" fillId="5" borderId="3" xfId="0" applyFont="1" applyFill="1" applyBorder="1" applyAlignment="1" applyProtection="1">
      <alignment horizontal="left" wrapText="1"/>
    </xf>
    <xf numFmtId="0" fontId="15" fillId="5" borderId="0" xfId="0" applyFont="1" applyFill="1" applyBorder="1" applyAlignment="1" applyProtection="1">
      <alignment horizontal="left" wrapText="1"/>
    </xf>
    <xf numFmtId="0" fontId="15" fillId="5" borderId="4" xfId="0" applyFont="1" applyFill="1" applyBorder="1" applyAlignment="1" applyProtection="1">
      <alignment horizontal="left" wrapText="1"/>
    </xf>
    <xf numFmtId="49" fontId="25" fillId="6" borderId="34" xfId="0" applyNumberFormat="1" applyFont="1" applyFill="1" applyBorder="1" applyAlignment="1" applyProtection="1">
      <alignment horizontal="left"/>
    </xf>
    <xf numFmtId="49" fontId="25" fillId="6" borderId="41" xfId="0" applyNumberFormat="1" applyFont="1" applyFill="1" applyBorder="1" applyAlignment="1" applyProtection="1">
      <alignment horizontal="left"/>
    </xf>
    <xf numFmtId="49" fontId="25" fillId="6" borderId="35" xfId="0" applyNumberFormat="1" applyFont="1" applyFill="1" applyBorder="1" applyAlignment="1" applyProtection="1">
      <alignment horizontal="left"/>
    </xf>
    <xf numFmtId="49" fontId="25" fillId="6" borderId="44" xfId="0" applyNumberFormat="1" applyFont="1" applyFill="1" applyBorder="1" applyAlignment="1" applyProtection="1">
      <alignment horizontal="left"/>
    </xf>
    <xf numFmtId="49" fontId="25" fillId="6" borderId="0" xfId="0" applyNumberFormat="1" applyFont="1" applyFill="1" applyBorder="1" applyAlignment="1" applyProtection="1">
      <alignment horizontal="left"/>
    </xf>
    <xf numFmtId="49" fontId="25" fillId="6" borderId="49" xfId="0" applyNumberFormat="1" applyFont="1" applyFill="1" applyBorder="1" applyAlignment="1" applyProtection="1">
      <alignment horizontal="left"/>
    </xf>
    <xf numFmtId="0" fontId="17" fillId="2" borderId="12" xfId="0" applyFont="1" applyFill="1" applyBorder="1" applyAlignment="1" applyProtection="1">
      <alignment horizontal="left" wrapText="1"/>
    </xf>
    <xf numFmtId="0" fontId="17" fillId="2" borderId="9" xfId="0" applyFont="1" applyFill="1" applyBorder="1" applyAlignment="1" applyProtection="1">
      <alignment horizontal="left" wrapText="1"/>
    </xf>
    <xf numFmtId="0" fontId="17" fillId="2" borderId="48" xfId="0" applyFont="1" applyFill="1" applyBorder="1" applyAlignment="1" applyProtection="1">
      <alignment horizontal="left" wrapText="1"/>
    </xf>
    <xf numFmtId="0" fontId="17" fillId="2" borderId="12" xfId="0" applyFont="1" applyFill="1" applyBorder="1" applyAlignment="1" applyProtection="1">
      <alignment horizontal="left"/>
    </xf>
    <xf numFmtId="0" fontId="17" fillId="2" borderId="9" xfId="0" applyFont="1" applyFill="1" applyBorder="1" applyAlignment="1" applyProtection="1">
      <alignment horizontal="left"/>
    </xf>
    <xf numFmtId="0" fontId="17" fillId="2" borderId="48" xfId="0" applyFont="1" applyFill="1" applyBorder="1" applyAlignment="1" applyProtection="1">
      <alignment horizontal="left"/>
    </xf>
    <xf numFmtId="0" fontId="17" fillId="2" borderId="61" xfId="0" applyFont="1" applyFill="1" applyBorder="1" applyAlignment="1" applyProtection="1">
      <alignment horizontal="right" wrapText="1"/>
    </xf>
    <xf numFmtId="0" fontId="17" fillId="2" borderId="20" xfId="0" applyFont="1" applyFill="1" applyBorder="1" applyAlignment="1" applyProtection="1">
      <alignment horizontal="right" wrapText="1"/>
    </xf>
    <xf numFmtId="0" fontId="17" fillId="2" borderId="51" xfId="0" applyFont="1" applyFill="1" applyBorder="1" applyAlignment="1" applyProtection="1">
      <alignment horizontal="right" wrapText="1"/>
    </xf>
    <xf numFmtId="0" fontId="17" fillId="2" borderId="3" xfId="0" applyFont="1" applyFill="1" applyBorder="1" applyAlignment="1" applyProtection="1">
      <alignment horizontal="right"/>
    </xf>
    <xf numFmtId="0" fontId="17" fillId="2" borderId="0" xfId="0" applyFont="1" applyFill="1" applyBorder="1" applyAlignment="1" applyProtection="1">
      <alignment horizontal="right"/>
    </xf>
    <xf numFmtId="0" fontId="17" fillId="2" borderId="4" xfId="0" applyFont="1" applyFill="1" applyBorder="1" applyAlignment="1" applyProtection="1">
      <alignment horizontal="right"/>
    </xf>
    <xf numFmtId="0" fontId="17" fillId="2" borderId="31" xfId="0" applyFont="1" applyFill="1" applyBorder="1" applyAlignment="1" applyProtection="1">
      <alignment horizontal="right"/>
    </xf>
    <xf numFmtId="0" fontId="17" fillId="2" borderId="16" xfId="0" applyFont="1" applyFill="1" applyBorder="1" applyAlignment="1" applyProtection="1">
      <alignment horizontal="right"/>
    </xf>
    <xf numFmtId="0" fontId="17" fillId="2" borderId="25" xfId="0" applyFont="1" applyFill="1" applyBorder="1" applyAlignment="1" applyProtection="1">
      <alignment horizontal="right"/>
    </xf>
    <xf numFmtId="0" fontId="15" fillId="5" borderId="61" xfId="0" applyFont="1" applyFill="1" applyBorder="1" applyAlignment="1" applyProtection="1">
      <alignment horizontal="left" wrapText="1"/>
    </xf>
    <xf numFmtId="0" fontId="15" fillId="5" borderId="20" xfId="0" applyFont="1" applyFill="1" applyBorder="1" applyAlignment="1" applyProtection="1">
      <alignment horizontal="left" wrapText="1"/>
    </xf>
    <xf numFmtId="0" fontId="15" fillId="5" borderId="51" xfId="0" applyFont="1" applyFill="1" applyBorder="1" applyAlignment="1" applyProtection="1">
      <alignment horizontal="left" wrapText="1"/>
    </xf>
    <xf numFmtId="0" fontId="17" fillId="6" borderId="27" xfId="2" applyFont="1" applyFill="1" applyBorder="1" applyAlignment="1" applyProtection="1">
      <alignment horizontal="center" vertical="center"/>
    </xf>
    <xf numFmtId="0" fontId="17" fillId="6" borderId="19" xfId="2" applyFont="1" applyFill="1" applyBorder="1" applyAlignment="1" applyProtection="1">
      <alignment horizontal="center" vertical="center"/>
    </xf>
    <xf numFmtId="0" fontId="17" fillId="6" borderId="23" xfId="2" applyFont="1" applyFill="1" applyBorder="1" applyAlignment="1" applyProtection="1">
      <alignment horizontal="center" vertical="center"/>
    </xf>
    <xf numFmtId="0" fontId="16" fillId="5" borderId="30" xfId="0" applyFont="1" applyFill="1" applyBorder="1" applyAlignment="1" applyProtection="1">
      <alignment horizontal="center" wrapText="1"/>
    </xf>
    <xf numFmtId="0" fontId="16" fillId="5" borderId="32" xfId="0" applyFont="1" applyFill="1" applyBorder="1" applyAlignment="1" applyProtection="1">
      <alignment horizontal="center" wrapText="1"/>
    </xf>
    <xf numFmtId="0" fontId="16" fillId="5" borderId="33" xfId="0" applyFont="1" applyFill="1" applyBorder="1" applyAlignment="1" applyProtection="1">
      <alignment horizontal="center" wrapText="1"/>
    </xf>
    <xf numFmtId="0" fontId="17" fillId="6" borderId="20" xfId="2" applyFont="1" applyFill="1" applyBorder="1" applyAlignment="1" applyProtection="1">
      <alignment horizontal="center" vertical="center"/>
    </xf>
    <xf numFmtId="0" fontId="17" fillId="6" borderId="0" xfId="2" applyFont="1" applyFill="1" applyBorder="1" applyAlignment="1" applyProtection="1">
      <alignment horizontal="center" vertical="center"/>
    </xf>
    <xf numFmtId="0" fontId="16" fillId="0" borderId="12" xfId="2" applyFont="1" applyFill="1" applyBorder="1" applyAlignment="1" applyProtection="1">
      <alignment horizontal="left" vertical="top"/>
    </xf>
    <xf numFmtId="0" fontId="16" fillId="0" borderId="16" xfId="2" applyFont="1" applyFill="1" applyBorder="1" applyAlignment="1" applyProtection="1">
      <alignment horizontal="left" vertical="top"/>
    </xf>
    <xf numFmtId="0" fontId="16" fillId="0" borderId="9" xfId="2" applyFont="1" applyFill="1" applyBorder="1" applyAlignment="1" applyProtection="1">
      <alignment horizontal="left" vertical="top"/>
    </xf>
    <xf numFmtId="0" fontId="16" fillId="0" borderId="25" xfId="2" applyFont="1" applyFill="1" applyBorder="1" applyAlignment="1" applyProtection="1">
      <alignment horizontal="left" vertical="top"/>
    </xf>
    <xf numFmtId="0" fontId="17" fillId="0" borderId="21" xfId="0" applyFont="1" applyBorder="1" applyAlignment="1" applyProtection="1">
      <alignment horizontal="right" vertical="center"/>
    </xf>
    <xf numFmtId="0" fontId="17" fillId="0" borderId="16" xfId="0" applyFont="1" applyBorder="1" applyAlignment="1" applyProtection="1">
      <alignment horizontal="right" vertical="center"/>
    </xf>
    <xf numFmtId="0" fontId="17" fillId="0" borderId="22" xfId="0" applyFont="1" applyBorder="1" applyAlignment="1" applyProtection="1">
      <alignment horizontal="right" vertical="center"/>
    </xf>
    <xf numFmtId="164" fontId="17" fillId="0" borderId="21" xfId="0" applyNumberFormat="1" applyFont="1" applyBorder="1" applyAlignment="1" applyProtection="1">
      <alignment horizontal="center"/>
    </xf>
    <xf numFmtId="164" fontId="17" fillId="0" borderId="22" xfId="0" applyNumberFormat="1" applyFont="1" applyBorder="1" applyAlignment="1" applyProtection="1">
      <alignment horizontal="center"/>
    </xf>
    <xf numFmtId="164" fontId="16" fillId="6" borderId="19" xfId="2" applyNumberFormat="1" applyFont="1" applyFill="1" applyBorder="1" applyAlignment="1" applyProtection="1">
      <alignment horizontal="center" vertical="top"/>
    </xf>
    <xf numFmtId="164" fontId="16" fillId="6" borderId="27" xfId="2" applyNumberFormat="1" applyFont="1" applyFill="1" applyBorder="1" applyAlignment="1" applyProtection="1">
      <alignment horizontal="center" vertical="top"/>
    </xf>
    <xf numFmtId="0" fontId="16" fillId="0" borderId="48" xfId="2" applyFont="1" applyFill="1" applyBorder="1" applyAlignment="1" applyProtection="1">
      <alignment horizontal="left" vertical="top"/>
    </xf>
    <xf numFmtId="164" fontId="16" fillId="6" borderId="23" xfId="2" applyNumberFormat="1" applyFont="1" applyFill="1" applyBorder="1" applyAlignment="1" applyProtection="1">
      <alignment horizontal="center" vertical="top"/>
    </xf>
    <xf numFmtId="164" fontId="16" fillId="6" borderId="26" xfId="2" applyNumberFormat="1" applyFont="1" applyFill="1" applyBorder="1" applyAlignment="1" applyProtection="1">
      <alignment horizontal="center" vertical="top"/>
    </xf>
    <xf numFmtId="0" fontId="16" fillId="0" borderId="10" xfId="2" applyFont="1" applyBorder="1" applyAlignment="1" applyProtection="1">
      <alignment horizontal="center" vertical="top"/>
    </xf>
    <xf numFmtId="0" fontId="16" fillId="0" borderId="11" xfId="2" applyFont="1" applyBorder="1" applyAlignment="1" applyProtection="1">
      <alignment horizontal="center" vertical="top"/>
    </xf>
    <xf numFmtId="0" fontId="14" fillId="7" borderId="34" xfId="2" applyFont="1" applyFill="1" applyBorder="1" applyAlignment="1" applyProtection="1">
      <alignment horizontal="center"/>
    </xf>
    <xf numFmtId="0" fontId="14" fillId="7" borderId="41" xfId="2" applyFont="1" applyFill="1" applyBorder="1" applyAlignment="1" applyProtection="1">
      <alignment horizontal="center"/>
    </xf>
    <xf numFmtId="0" fontId="14" fillId="7" borderId="35" xfId="2" applyFont="1" applyFill="1" applyBorder="1" applyAlignment="1" applyProtection="1">
      <alignment horizontal="center"/>
    </xf>
    <xf numFmtId="0" fontId="14" fillId="7" borderId="36" xfId="2" applyFont="1" applyFill="1" applyBorder="1" applyAlignment="1" applyProtection="1">
      <alignment horizontal="center" vertical="top"/>
    </xf>
    <xf numFmtId="0" fontId="14" fillId="7" borderId="0" xfId="2" applyFont="1" applyFill="1" applyBorder="1" applyAlignment="1" applyProtection="1">
      <alignment horizontal="center" vertical="top"/>
    </xf>
    <xf numFmtId="0" fontId="14" fillId="7" borderId="49" xfId="2" applyFont="1" applyFill="1" applyBorder="1" applyAlignment="1" applyProtection="1">
      <alignment horizontal="center" vertical="top"/>
    </xf>
    <xf numFmtId="0" fontId="17" fillId="6" borderId="34" xfId="0" applyFont="1" applyFill="1" applyBorder="1" applyAlignment="1" applyProtection="1">
      <alignment horizontal="left"/>
    </xf>
    <xf numFmtId="0" fontId="17" fillId="6" borderId="41" xfId="0" applyFont="1" applyFill="1" applyBorder="1" applyAlignment="1" applyProtection="1">
      <alignment horizontal="left"/>
    </xf>
    <xf numFmtId="0" fontId="17" fillId="6" borderId="35" xfId="0" applyFont="1" applyFill="1" applyBorder="1" applyAlignment="1" applyProtection="1">
      <alignment horizontal="left"/>
    </xf>
    <xf numFmtId="0" fontId="17" fillId="6" borderId="44" xfId="0" applyFont="1" applyFill="1" applyBorder="1" applyAlignment="1" applyProtection="1">
      <alignment horizontal="left"/>
    </xf>
    <xf numFmtId="0" fontId="17" fillId="6" borderId="0" xfId="0" applyFont="1" applyFill="1" applyBorder="1" applyAlignment="1" applyProtection="1">
      <alignment horizontal="left"/>
    </xf>
    <xf numFmtId="0" fontId="17" fillId="6" borderId="49" xfId="0" applyFont="1" applyFill="1" applyBorder="1" applyAlignment="1" applyProtection="1">
      <alignment horizontal="left"/>
    </xf>
    <xf numFmtId="0" fontId="19" fillId="4" borderId="36" xfId="0" applyFont="1" applyFill="1" applyBorder="1" applyAlignment="1" applyProtection="1">
      <alignment horizontal="center"/>
      <protection locked="0"/>
    </xf>
    <xf numFmtId="0" fontId="19" fillId="4" borderId="37" xfId="0" applyFont="1" applyFill="1" applyBorder="1" applyAlignment="1" applyProtection="1">
      <alignment horizontal="center"/>
      <protection locked="0"/>
    </xf>
    <xf numFmtId="0" fontId="16" fillId="4" borderId="36" xfId="0" applyFont="1" applyFill="1" applyBorder="1" applyAlignment="1" applyProtection="1">
      <alignment horizontal="center"/>
      <protection locked="0"/>
    </xf>
    <xf numFmtId="0" fontId="16" fillId="4" borderId="37" xfId="0" applyFont="1" applyFill="1" applyBorder="1" applyAlignment="1" applyProtection="1">
      <alignment horizontal="center"/>
      <protection locked="0"/>
    </xf>
    <xf numFmtId="0" fontId="17" fillId="6" borderId="36" xfId="0" applyFont="1" applyFill="1" applyBorder="1" applyAlignment="1" applyProtection="1">
      <alignment horizontal="left"/>
    </xf>
    <xf numFmtId="0" fontId="17" fillId="6" borderId="43" xfId="0" applyFont="1" applyFill="1" applyBorder="1" applyAlignment="1" applyProtection="1">
      <alignment horizontal="left"/>
    </xf>
    <xf numFmtId="0" fontId="17" fillId="0" borderId="12" xfId="2" applyFont="1" applyBorder="1" applyAlignment="1" applyProtection="1">
      <alignment horizontal="right" vertical="center"/>
    </xf>
    <xf numFmtId="0" fontId="17" fillId="0" borderId="9" xfId="2" applyFont="1" applyBorder="1" applyAlignment="1" applyProtection="1">
      <alignment horizontal="right" vertical="center"/>
    </xf>
    <xf numFmtId="0" fontId="17" fillId="0" borderId="48" xfId="2" applyFont="1" applyBorder="1" applyAlignment="1" applyProtection="1">
      <alignment horizontal="right" vertical="center"/>
    </xf>
    <xf numFmtId="0" fontId="15" fillId="0" borderId="34" xfId="2" applyFont="1" applyBorder="1" applyAlignment="1" applyProtection="1">
      <alignment horizontal="left" vertical="top" wrapText="1"/>
      <protection locked="0"/>
    </xf>
    <xf numFmtId="0" fontId="15" fillId="0" borderId="41" xfId="2" applyFont="1" applyBorder="1" applyAlignment="1" applyProtection="1">
      <alignment horizontal="left" vertical="top" wrapText="1"/>
      <protection locked="0"/>
    </xf>
    <xf numFmtId="0" fontId="15" fillId="0" borderId="35" xfId="2" applyFont="1" applyBorder="1" applyAlignment="1" applyProtection="1">
      <alignment horizontal="left" vertical="top" wrapText="1"/>
      <protection locked="0"/>
    </xf>
    <xf numFmtId="0" fontId="15" fillId="0" borderId="44" xfId="2" applyFont="1" applyBorder="1" applyAlignment="1" applyProtection="1">
      <alignment horizontal="left" vertical="top" wrapText="1"/>
      <protection locked="0"/>
    </xf>
    <xf numFmtId="0" fontId="15" fillId="0" borderId="0" xfId="2" applyFont="1" applyBorder="1" applyAlignment="1" applyProtection="1">
      <alignment horizontal="left" vertical="top" wrapText="1"/>
      <protection locked="0"/>
    </xf>
    <xf numFmtId="0" fontId="15" fillId="0" borderId="49" xfId="2" applyFont="1" applyBorder="1" applyAlignment="1" applyProtection="1">
      <alignment horizontal="left" vertical="top" wrapText="1"/>
      <protection locked="0"/>
    </xf>
    <xf numFmtId="0" fontId="15" fillId="0" borderId="36" xfId="2" applyFont="1" applyBorder="1" applyAlignment="1" applyProtection="1">
      <alignment horizontal="left" vertical="top" wrapText="1"/>
      <protection locked="0"/>
    </xf>
    <xf numFmtId="0" fontId="15" fillId="0" borderId="43" xfId="2" applyFont="1" applyBorder="1" applyAlignment="1" applyProtection="1">
      <alignment horizontal="left" vertical="top" wrapText="1"/>
      <protection locked="0"/>
    </xf>
    <xf numFmtId="0" fontId="15" fillId="0" borderId="37" xfId="2" applyFont="1" applyBorder="1" applyAlignment="1" applyProtection="1">
      <alignment horizontal="left" vertical="top" wrapText="1"/>
      <protection locked="0"/>
    </xf>
    <xf numFmtId="0" fontId="16" fillId="5" borderId="30" xfId="0" applyFont="1" applyFill="1" applyBorder="1" applyAlignment="1" applyProtection="1">
      <alignment horizontal="center"/>
      <protection locked="0"/>
    </xf>
    <xf numFmtId="0" fontId="16" fillId="5" borderId="32" xfId="0" applyFont="1" applyFill="1" applyBorder="1" applyAlignment="1" applyProtection="1">
      <alignment horizontal="center"/>
      <protection locked="0"/>
    </xf>
    <xf numFmtId="0" fontId="16" fillId="5" borderId="33" xfId="0" applyFont="1" applyFill="1" applyBorder="1" applyAlignment="1" applyProtection="1">
      <alignment horizontal="center"/>
      <protection locked="0"/>
    </xf>
    <xf numFmtId="0" fontId="19" fillId="5" borderId="19" xfId="2" applyFont="1" applyFill="1" applyBorder="1" applyAlignment="1" applyProtection="1">
      <alignment horizontal="center" vertical="center" wrapText="1"/>
    </xf>
    <xf numFmtId="0" fontId="19" fillId="5" borderId="23" xfId="2" applyFont="1" applyFill="1" applyBorder="1" applyAlignment="1" applyProtection="1">
      <alignment horizontal="center" vertical="center" wrapText="1"/>
    </xf>
    <xf numFmtId="0" fontId="16" fillId="0" borderId="20" xfId="2" applyFont="1" applyFill="1" applyBorder="1" applyAlignment="1" applyProtection="1">
      <alignment horizontal="center" vertical="top"/>
    </xf>
    <xf numFmtId="0" fontId="16" fillId="0" borderId="0" xfId="2" applyFont="1" applyFill="1" applyAlignment="1" applyProtection="1">
      <alignment horizontal="center" vertical="top"/>
    </xf>
    <xf numFmtId="0" fontId="20" fillId="0" borderId="3" xfId="2" applyFont="1" applyFill="1" applyBorder="1" applyAlignment="1" applyProtection="1">
      <alignment horizontal="left" vertical="top" wrapText="1"/>
    </xf>
    <xf numFmtId="0" fontId="16" fillId="0" borderId="0" xfId="2" applyFont="1" applyFill="1" applyBorder="1" applyAlignment="1" applyProtection="1">
      <alignment horizontal="left" vertical="top" wrapText="1"/>
    </xf>
    <xf numFmtId="0" fontId="16" fillId="6" borderId="19" xfId="2" applyFont="1" applyFill="1" applyBorder="1" applyAlignment="1" applyProtection="1">
      <alignment horizontal="center" vertical="top"/>
    </xf>
    <xf numFmtId="0" fontId="28" fillId="6" borderId="19" xfId="2" applyFont="1" applyFill="1" applyBorder="1" applyAlignment="1" applyProtection="1">
      <alignment horizontal="center" vertical="top"/>
    </xf>
    <xf numFmtId="0" fontId="23" fillId="0" borderId="6" xfId="2" applyFont="1" applyFill="1" applyBorder="1" applyAlignment="1" applyProtection="1">
      <alignment horizontal="center" vertical="center"/>
    </xf>
    <xf numFmtId="0" fontId="16" fillId="0" borderId="4" xfId="2" applyFont="1" applyFill="1" applyBorder="1" applyAlignment="1" applyProtection="1">
      <alignment horizontal="center" vertical="top"/>
    </xf>
    <xf numFmtId="0" fontId="16" fillId="0" borderId="3" xfId="2" applyFont="1" applyFill="1" applyBorder="1" applyAlignment="1" applyProtection="1">
      <alignment horizontal="left" vertical="top" wrapText="1"/>
    </xf>
    <xf numFmtId="0" fontId="16" fillId="0" borderId="4" xfId="2" applyFont="1" applyFill="1" applyBorder="1" applyAlignment="1" applyProtection="1">
      <alignment horizontal="left" vertical="top" wrapText="1"/>
    </xf>
    <xf numFmtId="0" fontId="29" fillId="0" borderId="31" xfId="2" applyFont="1" applyFill="1" applyBorder="1" applyAlignment="1" applyProtection="1">
      <alignment horizontal="right"/>
    </xf>
    <xf numFmtId="0" fontId="29" fillId="0" borderId="16" xfId="2" applyFont="1" applyFill="1" applyBorder="1" applyAlignment="1" applyProtection="1">
      <alignment horizontal="right"/>
    </xf>
    <xf numFmtId="0" fontId="29" fillId="0" borderId="25" xfId="2" applyFont="1" applyFill="1" applyBorder="1" applyAlignment="1" applyProtection="1">
      <alignment horizontal="right"/>
    </xf>
    <xf numFmtId="9" fontId="17" fillId="2" borderId="0" xfId="2" applyNumberFormat="1" applyFont="1" applyFill="1" applyBorder="1" applyAlignment="1" applyProtection="1">
      <alignment horizontal="center" vertical="top"/>
    </xf>
    <xf numFmtId="0" fontId="16" fillId="5" borderId="36" xfId="0" applyFont="1" applyFill="1" applyBorder="1" applyAlignment="1" applyProtection="1">
      <alignment horizontal="center" vertical="center" wrapText="1"/>
    </xf>
    <xf numFmtId="0" fontId="16" fillId="5" borderId="43" xfId="0" applyFont="1" applyFill="1" applyBorder="1" applyAlignment="1" applyProtection="1">
      <alignment horizontal="center" vertical="center" wrapText="1"/>
    </xf>
    <xf numFmtId="0" fontId="16" fillId="5" borderId="37" xfId="0" applyFont="1" applyFill="1" applyBorder="1" applyAlignment="1" applyProtection="1">
      <alignment horizontal="center" vertical="center" wrapText="1"/>
    </xf>
    <xf numFmtId="0" fontId="17" fillId="0" borderId="0" xfId="2" applyFont="1" applyAlignment="1" applyProtection="1">
      <alignment horizontal="left" vertical="top"/>
    </xf>
    <xf numFmtId="0" fontId="27" fillId="0" borderId="0" xfId="2" applyFont="1" applyAlignment="1" applyProtection="1">
      <alignment horizontal="left" vertical="top"/>
    </xf>
    <xf numFmtId="0" fontId="17" fillId="6" borderId="55" xfId="2" applyFont="1" applyFill="1" applyBorder="1" applyAlignment="1" applyProtection="1">
      <alignment horizontal="center" vertical="center"/>
    </xf>
    <xf numFmtId="0" fontId="17" fillId="2" borderId="3" xfId="2" applyFont="1" applyFill="1" applyBorder="1" applyAlignment="1" applyProtection="1">
      <alignment horizontal="center" vertical="top"/>
    </xf>
    <xf numFmtId="0" fontId="17" fillId="2" borderId="0" xfId="2" applyFont="1" applyFill="1" applyBorder="1" applyAlignment="1" applyProtection="1">
      <alignment horizontal="center" vertical="top"/>
    </xf>
    <xf numFmtId="0" fontId="29" fillId="0" borderId="16" xfId="2" applyFont="1" applyFill="1" applyBorder="1" applyAlignment="1" applyProtection="1">
      <alignment horizontal="right" vertical="center"/>
    </xf>
    <xf numFmtId="0" fontId="16" fillId="0" borderId="51" xfId="2" applyFont="1" applyFill="1" applyBorder="1" applyAlignment="1" applyProtection="1">
      <alignment horizontal="center" vertical="top"/>
    </xf>
    <xf numFmtId="164" fontId="29" fillId="0" borderId="16" xfId="2" applyNumberFormat="1" applyFont="1" applyFill="1" applyBorder="1" applyAlignment="1" applyProtection="1">
      <alignment horizontal="right" vertical="top"/>
    </xf>
    <xf numFmtId="0" fontId="23" fillId="0" borderId="0" xfId="2" applyFont="1" applyFill="1" applyAlignment="1" applyProtection="1">
      <alignment horizontal="center" vertical="center"/>
    </xf>
    <xf numFmtId="0" fontId="17" fillId="6" borderId="44" xfId="2" applyFont="1" applyFill="1" applyBorder="1" applyAlignment="1" applyProtection="1">
      <alignment horizontal="left" vertical="top"/>
    </xf>
    <xf numFmtId="0" fontId="17" fillId="6" borderId="0" xfId="2" applyFont="1" applyFill="1" applyBorder="1" applyAlignment="1" applyProtection="1">
      <alignment horizontal="left" vertical="top"/>
    </xf>
    <xf numFmtId="0" fontId="14" fillId="7" borderId="44" xfId="2" applyFont="1" applyFill="1" applyBorder="1" applyAlignment="1" applyProtection="1">
      <alignment horizontal="center" vertical="top"/>
    </xf>
    <xf numFmtId="0" fontId="16" fillId="0" borderId="12" xfId="2" applyFont="1" applyFill="1" applyBorder="1" applyAlignment="1" applyProtection="1">
      <alignment horizontal="left" vertical="top" wrapText="1"/>
    </xf>
    <xf numFmtId="0" fontId="16" fillId="0" borderId="9" xfId="2" applyFont="1" applyFill="1" applyBorder="1" applyAlignment="1" applyProtection="1">
      <alignment horizontal="left" vertical="top" wrapText="1"/>
    </xf>
    <xf numFmtId="0" fontId="16" fillId="0" borderId="48" xfId="2" applyFont="1" applyFill="1" applyBorder="1" applyAlignment="1" applyProtection="1">
      <alignment horizontal="left" vertical="top" wrapText="1"/>
    </xf>
    <xf numFmtId="164" fontId="16" fillId="4" borderId="36" xfId="2" applyNumberFormat="1" applyFont="1" applyFill="1" applyBorder="1" applyAlignment="1" applyProtection="1">
      <alignment horizontal="center" vertical="center"/>
      <protection locked="0"/>
    </xf>
    <xf numFmtId="164" fontId="16" fillId="4" borderId="37" xfId="2" applyNumberFormat="1" applyFont="1" applyFill="1" applyBorder="1" applyAlignment="1" applyProtection="1">
      <alignment horizontal="center" vertical="center"/>
      <protection locked="0"/>
    </xf>
    <xf numFmtId="0" fontId="16" fillId="4" borderId="36" xfId="2" applyFont="1" applyFill="1" applyBorder="1" applyAlignment="1" applyProtection="1">
      <alignment horizontal="center" vertical="center"/>
      <protection locked="0"/>
    </xf>
    <xf numFmtId="0" fontId="16" fillId="4" borderId="37" xfId="2" applyFont="1" applyFill="1" applyBorder="1" applyAlignment="1" applyProtection="1">
      <alignment horizontal="center" vertical="center"/>
      <protection locked="0"/>
    </xf>
    <xf numFmtId="0" fontId="24" fillId="0" borderId="3" xfId="2" applyFont="1" applyFill="1" applyBorder="1" applyAlignment="1" applyProtection="1">
      <alignment horizontal="right" vertical="center"/>
    </xf>
    <xf numFmtId="0" fontId="24" fillId="0" borderId="0" xfId="2" applyFont="1" applyFill="1" applyBorder="1" applyAlignment="1" applyProtection="1">
      <alignment horizontal="right" vertical="center"/>
    </xf>
    <xf numFmtId="0" fontId="24" fillId="0" borderId="4" xfId="2" applyFont="1" applyFill="1" applyBorder="1" applyAlignment="1" applyProtection="1">
      <alignment horizontal="right" vertical="center"/>
    </xf>
    <xf numFmtId="0" fontId="29" fillId="0" borderId="31" xfId="2" applyFont="1" applyFill="1" applyBorder="1" applyAlignment="1" applyProtection="1">
      <alignment horizontal="right" vertical="top"/>
    </xf>
    <xf numFmtId="0" fontId="29" fillId="0" borderId="16" xfId="2" applyFont="1" applyFill="1" applyBorder="1" applyAlignment="1" applyProtection="1">
      <alignment horizontal="right" vertical="top"/>
    </xf>
    <xf numFmtId="0" fontId="29" fillId="0" borderId="25" xfId="2" applyFont="1" applyFill="1" applyBorder="1" applyAlignment="1" applyProtection="1">
      <alignment horizontal="right" vertical="top"/>
    </xf>
    <xf numFmtId="0" fontId="16" fillId="0" borderId="21" xfId="2" applyFont="1" applyBorder="1" applyAlignment="1" applyProtection="1">
      <alignment horizontal="center" vertical="top"/>
    </xf>
    <xf numFmtId="0" fontId="16" fillId="0" borderId="22" xfId="2" applyFont="1" applyBorder="1" applyAlignment="1" applyProtection="1">
      <alignment horizontal="center" vertical="top"/>
    </xf>
    <xf numFmtId="0" fontId="17" fillId="0" borderId="11" xfId="2" applyFont="1" applyBorder="1" applyAlignment="1" applyProtection="1">
      <alignment horizontal="right" vertical="center"/>
    </xf>
    <xf numFmtId="0" fontId="17" fillId="6" borderId="55" xfId="0" applyFont="1" applyFill="1" applyBorder="1" applyAlignment="1" applyProtection="1">
      <alignment horizontal="center" vertical="center"/>
    </xf>
    <xf numFmtId="0" fontId="17" fillId="6" borderId="19" xfId="0" applyFont="1" applyFill="1" applyBorder="1" applyAlignment="1" applyProtection="1">
      <alignment horizontal="center" vertical="center"/>
    </xf>
    <xf numFmtId="0" fontId="17" fillId="6" borderId="23" xfId="0" applyFont="1" applyFill="1" applyBorder="1" applyAlignment="1" applyProtection="1">
      <alignment horizontal="center" vertical="center"/>
    </xf>
    <xf numFmtId="0" fontId="17" fillId="4" borderId="30" xfId="0" applyFont="1" applyFill="1" applyBorder="1" applyAlignment="1" applyProtection="1">
      <alignment horizontal="center"/>
    </xf>
    <xf numFmtId="0" fontId="17" fillId="4" borderId="33" xfId="0" applyFont="1" applyFill="1" applyBorder="1" applyAlignment="1" applyProtection="1">
      <alignment horizontal="center"/>
    </xf>
    <xf numFmtId="0" fontId="17" fillId="4" borderId="30" xfId="2" applyFont="1" applyFill="1" applyBorder="1" applyAlignment="1" applyProtection="1">
      <alignment horizontal="center" vertical="top"/>
    </xf>
    <xf numFmtId="0" fontId="17" fillId="4" borderId="33" xfId="2" applyFont="1" applyFill="1" applyBorder="1" applyAlignment="1" applyProtection="1">
      <alignment horizontal="center" vertical="top"/>
    </xf>
    <xf numFmtId="0" fontId="16" fillId="0" borderId="50" xfId="0" applyFont="1" applyFill="1" applyBorder="1" applyAlignment="1" applyProtection="1">
      <alignment horizontal="center"/>
    </xf>
    <xf numFmtId="0" fontId="15" fillId="5" borderId="0" xfId="0" applyFont="1" applyFill="1" applyAlignment="1" applyProtection="1">
      <alignment horizontal="left" vertical="top" wrapText="1"/>
    </xf>
    <xf numFmtId="0" fontId="15" fillId="5" borderId="0" xfId="0" applyFont="1" applyFill="1" applyAlignment="1" applyProtection="1">
      <alignment horizontal="left" wrapText="1"/>
    </xf>
    <xf numFmtId="164" fontId="16" fillId="6" borderId="14" xfId="2" applyNumberFormat="1" applyFont="1" applyFill="1" applyBorder="1" applyAlignment="1" applyProtection="1">
      <alignment horizontal="center" vertical="top"/>
    </xf>
    <xf numFmtId="164" fontId="16" fillId="6" borderId="15" xfId="2" applyNumberFormat="1" applyFont="1" applyFill="1" applyBorder="1" applyAlignment="1" applyProtection="1">
      <alignment horizontal="center" vertical="top"/>
    </xf>
    <xf numFmtId="164" fontId="16" fillId="6" borderId="29" xfId="2" applyNumberFormat="1" applyFont="1" applyFill="1" applyBorder="1" applyAlignment="1" applyProtection="1">
      <alignment horizontal="center" vertical="top"/>
    </xf>
    <xf numFmtId="164" fontId="16" fillId="6" borderId="28" xfId="2" applyNumberFormat="1" applyFont="1" applyFill="1" applyBorder="1" applyAlignment="1" applyProtection="1">
      <alignment horizontal="center" vertical="top"/>
    </xf>
    <xf numFmtId="164" fontId="19" fillId="6" borderId="23" xfId="2" applyNumberFormat="1" applyFont="1" applyFill="1" applyBorder="1" applyAlignment="1" applyProtection="1">
      <alignment horizontal="center" vertical="top"/>
    </xf>
    <xf numFmtId="0" fontId="15" fillId="5" borderId="0" xfId="0" applyFont="1" applyFill="1" applyBorder="1" applyAlignment="1">
      <alignment horizontal="left" vertical="center"/>
    </xf>
    <xf numFmtId="0" fontId="14" fillId="7" borderId="34" xfId="2" applyFont="1" applyFill="1" applyBorder="1" applyAlignment="1">
      <alignment horizontal="center"/>
    </xf>
    <xf numFmtId="0" fontId="14" fillId="7" borderId="41" xfId="2" applyFont="1" applyFill="1" applyBorder="1" applyAlignment="1">
      <alignment horizontal="center"/>
    </xf>
    <xf numFmtId="0" fontId="14" fillId="7" borderId="35" xfId="2" applyFont="1" applyFill="1" applyBorder="1" applyAlignment="1">
      <alignment horizontal="center"/>
    </xf>
    <xf numFmtId="0" fontId="14" fillId="7" borderId="44" xfId="2" applyFont="1" applyFill="1" applyBorder="1" applyAlignment="1">
      <alignment horizontal="center" vertical="top"/>
    </xf>
    <xf numFmtId="0" fontId="14" fillId="7" borderId="0" xfId="2" applyFont="1" applyFill="1" applyBorder="1" applyAlignment="1">
      <alignment horizontal="center" vertical="top"/>
    </xf>
    <xf numFmtId="0" fontId="14" fillId="7" borderId="49" xfId="2" applyFont="1" applyFill="1" applyBorder="1" applyAlignment="1">
      <alignment horizontal="center" vertical="top"/>
    </xf>
    <xf numFmtId="0" fontId="15" fillId="5" borderId="0" xfId="0" applyFont="1" applyFill="1" applyBorder="1" applyAlignment="1">
      <alignment horizontal="left" vertical="center" wrapText="1"/>
    </xf>
    <xf numFmtId="0" fontId="17" fillId="6" borderId="34" xfId="0" applyFont="1" applyFill="1" applyBorder="1" applyAlignment="1">
      <alignment horizontal="left"/>
    </xf>
    <xf numFmtId="0" fontId="17" fillId="6" borderId="41" xfId="0" applyFont="1" applyFill="1" applyBorder="1" applyAlignment="1">
      <alignment horizontal="left"/>
    </xf>
    <xf numFmtId="0" fontId="17" fillId="6" borderId="35" xfId="0" applyFont="1" applyFill="1" applyBorder="1" applyAlignment="1">
      <alignment horizontal="left"/>
    </xf>
    <xf numFmtId="0" fontId="17" fillId="6" borderId="44" xfId="0" applyFont="1" applyFill="1" applyBorder="1" applyAlignment="1">
      <alignment horizontal="left"/>
    </xf>
    <xf numFmtId="0" fontId="17" fillId="6" borderId="0" xfId="0" applyFont="1" applyFill="1" applyBorder="1" applyAlignment="1">
      <alignment horizontal="left"/>
    </xf>
    <xf numFmtId="0" fontId="17" fillId="6" borderId="49" xfId="0" applyFont="1" applyFill="1" applyBorder="1" applyAlignment="1">
      <alignment horizontal="left"/>
    </xf>
    <xf numFmtId="0" fontId="17" fillId="0" borderId="21" xfId="0" applyFont="1" applyBorder="1" applyAlignment="1">
      <alignment horizontal="right"/>
    </xf>
    <xf numFmtId="0" fontId="17" fillId="0" borderId="16" xfId="0" applyFont="1" applyBorder="1" applyAlignment="1">
      <alignment horizontal="right"/>
    </xf>
    <xf numFmtId="0" fontId="17" fillId="0" borderId="22" xfId="0" applyFont="1" applyBorder="1" applyAlignment="1">
      <alignment horizontal="right"/>
    </xf>
    <xf numFmtId="0" fontId="17" fillId="6" borderId="36" xfId="0" applyFont="1" applyFill="1" applyBorder="1" applyAlignment="1">
      <alignment horizontal="left"/>
    </xf>
    <xf numFmtId="0" fontId="17" fillId="6" borderId="43" xfId="0" applyFont="1" applyFill="1" applyBorder="1" applyAlignment="1">
      <alignment horizontal="left"/>
    </xf>
    <xf numFmtId="0" fontId="17" fillId="4" borderId="30" xfId="0" applyFont="1" applyFill="1" applyBorder="1" applyAlignment="1">
      <alignment horizontal="center"/>
    </xf>
    <xf numFmtId="0" fontId="17" fillId="4" borderId="33" xfId="0" applyFont="1" applyFill="1" applyBorder="1" applyAlignment="1">
      <alignment horizontal="center"/>
    </xf>
    <xf numFmtId="0" fontId="36" fillId="7" borderId="0" xfId="0" applyFont="1" applyFill="1" applyAlignment="1" applyProtection="1">
      <alignment horizontal="center"/>
      <protection locked="0"/>
    </xf>
    <xf numFmtId="167" fontId="27" fillId="6" borderId="30" xfId="2" applyNumberFormat="1" applyFont="1" applyFill="1" applyBorder="1" applyAlignment="1">
      <alignment horizontal="center" vertical="center"/>
    </xf>
    <xf numFmtId="167" fontId="27" fillId="6" borderId="33" xfId="2" applyNumberFormat="1" applyFont="1" applyFill="1" applyBorder="1" applyAlignment="1">
      <alignment horizontal="center" vertical="center"/>
    </xf>
    <xf numFmtId="0" fontId="17" fillId="6" borderId="34" xfId="2" applyFont="1" applyFill="1" applyBorder="1" applyAlignment="1" applyProtection="1">
      <alignment horizontal="left"/>
      <protection locked="0"/>
    </xf>
    <xf numFmtId="0" fontId="17" fillId="6" borderId="41" xfId="2" applyFont="1" applyFill="1" applyBorder="1" applyAlignment="1" applyProtection="1">
      <alignment horizontal="left"/>
      <protection locked="0"/>
    </xf>
    <xf numFmtId="0" fontId="17" fillId="6" borderId="35" xfId="2" applyFont="1" applyFill="1" applyBorder="1" applyAlignment="1" applyProtection="1">
      <alignment horizontal="left"/>
      <protection locked="0"/>
    </xf>
    <xf numFmtId="0" fontId="17" fillId="6" borderId="44" xfId="2" applyFont="1" applyFill="1" applyBorder="1" applyAlignment="1" applyProtection="1">
      <alignment horizontal="left" vertical="center"/>
      <protection locked="0"/>
    </xf>
    <xf numFmtId="0" fontId="17" fillId="6" borderId="0" xfId="2" applyFont="1" applyFill="1" applyBorder="1" applyAlignment="1" applyProtection="1">
      <alignment horizontal="left" vertical="center"/>
      <protection locked="0"/>
    </xf>
    <xf numFmtId="0" fontId="17" fillId="6" borderId="49" xfId="2" applyFont="1" applyFill="1" applyBorder="1" applyAlignment="1" applyProtection="1">
      <alignment horizontal="left" vertical="center"/>
      <protection locked="0"/>
    </xf>
    <xf numFmtId="0" fontId="16" fillId="5" borderId="34" xfId="2" applyFont="1" applyFill="1" applyBorder="1" applyAlignment="1" applyProtection="1">
      <alignment horizontal="center" vertical="center"/>
      <protection locked="0"/>
    </xf>
    <xf numFmtId="0" fontId="16" fillId="5" borderId="41" xfId="2" applyFont="1" applyFill="1" applyBorder="1" applyAlignment="1" applyProtection="1">
      <alignment horizontal="center" vertical="center"/>
      <protection locked="0"/>
    </xf>
    <xf numFmtId="0" fontId="16" fillId="5" borderId="35" xfId="2" applyFont="1" applyFill="1" applyBorder="1" applyAlignment="1" applyProtection="1">
      <alignment horizontal="center" vertical="center"/>
      <protection locked="0"/>
    </xf>
    <xf numFmtId="0" fontId="16" fillId="5" borderId="36" xfId="0" applyFont="1" applyFill="1" applyBorder="1" applyAlignment="1" applyProtection="1">
      <alignment horizontal="center" vertical="center"/>
      <protection locked="0"/>
    </xf>
    <xf numFmtId="0" fontId="16" fillId="5" borderId="43" xfId="0" applyFont="1" applyFill="1" applyBorder="1" applyAlignment="1" applyProtection="1">
      <alignment horizontal="center" vertical="center"/>
      <protection locked="0"/>
    </xf>
    <xf numFmtId="0" fontId="16" fillId="5" borderId="37" xfId="0" applyFont="1" applyFill="1" applyBorder="1" applyAlignment="1" applyProtection="1">
      <alignment horizontal="center" vertical="center"/>
      <protection locked="0"/>
    </xf>
    <xf numFmtId="0" fontId="36" fillId="7" borderId="0" xfId="0" applyFont="1" applyFill="1" applyAlignment="1" applyProtection="1">
      <alignment horizontal="center" vertical="center"/>
      <protection locked="0"/>
    </xf>
    <xf numFmtId="0" fontId="36" fillId="7" borderId="43" xfId="0" applyFont="1" applyFill="1" applyBorder="1" applyAlignment="1" applyProtection="1">
      <alignment horizontal="center" vertical="center"/>
      <protection locked="0"/>
    </xf>
    <xf numFmtId="0" fontId="16" fillId="0" borderId="34" xfId="2" applyFont="1" applyBorder="1" applyAlignment="1" applyProtection="1">
      <alignment horizontal="right"/>
      <protection locked="0"/>
    </xf>
    <xf numFmtId="0" fontId="16" fillId="0" borderId="41" xfId="2" applyFont="1" applyBorder="1" applyAlignment="1" applyProtection="1">
      <alignment horizontal="right"/>
      <protection locked="0"/>
    </xf>
    <xf numFmtId="0" fontId="16" fillId="0" borderId="35" xfId="2" applyFont="1" applyBorder="1" applyAlignment="1" applyProtection="1">
      <alignment horizontal="right"/>
      <protection locked="0"/>
    </xf>
    <xf numFmtId="0" fontId="16" fillId="0" borderId="44" xfId="2" applyFont="1" applyBorder="1" applyAlignment="1" applyProtection="1">
      <alignment horizontal="right" vertical="center"/>
      <protection locked="0"/>
    </xf>
    <xf numFmtId="0" fontId="16" fillId="0" borderId="0" xfId="2" applyFont="1" applyAlignment="1" applyProtection="1">
      <alignment horizontal="right" vertical="center"/>
      <protection locked="0"/>
    </xf>
    <xf numFmtId="0" fontId="16" fillId="0" borderId="49" xfId="2" applyFont="1" applyBorder="1" applyAlignment="1" applyProtection="1">
      <alignment horizontal="right" vertical="center"/>
      <protection locked="0"/>
    </xf>
    <xf numFmtId="0" fontId="16" fillId="0" borderId="34" xfId="0" applyFont="1" applyBorder="1" applyAlignment="1" applyProtection="1">
      <alignment horizontal="center"/>
      <protection locked="0"/>
    </xf>
    <xf numFmtId="0" fontId="16" fillId="0" borderId="41" xfId="0" applyFont="1" applyBorder="1" applyAlignment="1" applyProtection="1">
      <alignment horizontal="center"/>
      <protection locked="0"/>
    </xf>
    <xf numFmtId="0" fontId="16" fillId="0" borderId="35" xfId="0" applyFont="1" applyBorder="1" applyAlignment="1" applyProtection="1">
      <alignment horizontal="center"/>
      <protection locked="0"/>
    </xf>
    <xf numFmtId="0" fontId="16" fillId="0" borderId="44" xfId="0" applyFont="1" applyBorder="1" applyAlignment="1" applyProtection="1">
      <alignment horizontal="center"/>
      <protection locked="0"/>
    </xf>
    <xf numFmtId="0" fontId="16" fillId="0" borderId="0" xfId="0" applyFont="1" applyBorder="1" applyAlignment="1" applyProtection="1">
      <alignment horizontal="center"/>
      <protection locked="0"/>
    </xf>
    <xf numFmtId="0" fontId="16" fillId="0" borderId="49" xfId="0" applyFont="1" applyBorder="1" applyAlignment="1" applyProtection="1">
      <alignment horizontal="center"/>
      <protection locked="0"/>
    </xf>
    <xf numFmtId="0" fontId="16" fillId="0" borderId="44" xfId="2" applyFont="1" applyBorder="1" applyAlignment="1" applyProtection="1">
      <alignment horizontal="center" vertical="center"/>
      <protection locked="0"/>
    </xf>
    <xf numFmtId="0" fontId="16" fillId="0" borderId="0" xfId="2" applyFont="1" applyBorder="1" applyAlignment="1" applyProtection="1">
      <alignment horizontal="center" vertical="center"/>
      <protection locked="0"/>
    </xf>
    <xf numFmtId="0" fontId="64" fillId="0" borderId="36" xfId="2" applyFont="1" applyBorder="1" applyAlignment="1" applyProtection="1">
      <alignment horizontal="center"/>
      <protection locked="0"/>
    </xf>
    <xf numFmtId="0" fontId="64" fillId="0" borderId="43" xfId="2" applyFont="1" applyBorder="1" applyAlignment="1" applyProtection="1">
      <alignment horizontal="center"/>
      <protection locked="0"/>
    </xf>
    <xf numFmtId="0" fontId="22" fillId="3" borderId="0" xfId="0" applyFont="1" applyFill="1" applyAlignment="1">
      <alignment horizontal="left" wrapText="1"/>
    </xf>
    <xf numFmtId="0" fontId="16" fillId="0" borderId="36" xfId="0" applyFont="1" applyBorder="1" applyAlignment="1">
      <alignment horizontal="right"/>
    </xf>
    <xf numFmtId="0" fontId="16" fillId="0" borderId="37" xfId="0" applyFont="1" applyBorder="1" applyAlignment="1">
      <alignment horizontal="right"/>
    </xf>
    <xf numFmtId="0" fontId="17" fillId="6" borderId="37" xfId="0" applyFont="1" applyFill="1" applyBorder="1" applyAlignment="1">
      <alignment horizontal="left"/>
    </xf>
    <xf numFmtId="0" fontId="37" fillId="7" borderId="0" xfId="0" applyFont="1" applyFill="1" applyBorder="1" applyAlignment="1">
      <alignment horizontal="center"/>
    </xf>
    <xf numFmtId="0" fontId="37" fillId="7" borderId="0" xfId="0" applyFont="1" applyFill="1" applyAlignment="1">
      <alignment horizontal="center"/>
    </xf>
    <xf numFmtId="0" fontId="16" fillId="0" borderId="34" xfId="0" applyFont="1" applyBorder="1" applyAlignment="1">
      <alignment horizontal="right"/>
    </xf>
    <xf numFmtId="0" fontId="16" fillId="0" borderId="35" xfId="0" applyFont="1" applyBorder="1" applyAlignment="1">
      <alignment horizontal="right"/>
    </xf>
    <xf numFmtId="0" fontId="16" fillId="0" borderId="44" xfId="0" applyFont="1" applyBorder="1" applyAlignment="1">
      <alignment horizontal="right"/>
    </xf>
    <xf numFmtId="0" fontId="16" fillId="0" borderId="49" xfId="0" applyFont="1" applyBorder="1" applyAlignment="1">
      <alignment horizontal="right"/>
    </xf>
    <xf numFmtId="0" fontId="28" fillId="0" borderId="19" xfId="17" applyFont="1" applyBorder="1" applyAlignment="1">
      <alignment horizontal="left" wrapText="1"/>
    </xf>
    <xf numFmtId="0" fontId="28" fillId="0" borderId="0" xfId="17" applyFont="1" applyAlignment="1">
      <alignment horizontal="left" vertical="center" wrapText="1"/>
    </xf>
    <xf numFmtId="0" fontId="28" fillId="0" borderId="14" xfId="17" applyFont="1" applyBorder="1" applyAlignment="1">
      <alignment horizontal="left" vertical="center" wrapText="1"/>
    </xf>
    <xf numFmtId="0" fontId="28" fillId="0" borderId="15" xfId="17" applyFont="1" applyBorder="1" applyAlignment="1">
      <alignment horizontal="left" vertical="center" wrapText="1"/>
    </xf>
    <xf numFmtId="0" fontId="28" fillId="0" borderId="14" xfId="17" applyFont="1" applyBorder="1" applyAlignment="1">
      <alignment horizontal="left" wrapText="1"/>
    </xf>
    <xf numFmtId="0" fontId="28" fillId="0" borderId="15" xfId="17" applyFont="1" applyBorder="1" applyAlignment="1">
      <alignment horizontal="left" wrapText="1"/>
    </xf>
    <xf numFmtId="0" fontId="28" fillId="0" borderId="27" xfId="17" applyFont="1" applyBorder="1" applyAlignment="1">
      <alignment horizontal="left" wrapText="1"/>
    </xf>
    <xf numFmtId="0" fontId="41" fillId="7" borderId="30" xfId="17" applyFont="1" applyFill="1" applyBorder="1" applyAlignment="1">
      <alignment horizontal="center" vertical="top"/>
    </xf>
    <xf numFmtId="0" fontId="41" fillId="7" borderId="32" xfId="17" applyFont="1" applyFill="1" applyBorder="1" applyAlignment="1">
      <alignment horizontal="center" vertical="top"/>
    </xf>
    <xf numFmtId="0" fontId="41" fillId="7" borderId="33" xfId="17" applyFont="1" applyFill="1" applyBorder="1" applyAlignment="1">
      <alignment horizontal="center" vertical="top"/>
    </xf>
    <xf numFmtId="0" fontId="25" fillId="6" borderId="0" xfId="17" applyFont="1" applyFill="1" applyAlignment="1">
      <alignment horizontal="left" vertical="top" wrapText="1"/>
    </xf>
    <xf numFmtId="0" fontId="31" fillId="0" borderId="0" xfId="17" applyFont="1" applyAlignment="1">
      <alignment horizontal="center" vertical="top" wrapText="1"/>
    </xf>
    <xf numFmtId="0" fontId="31" fillId="0" borderId="49" xfId="17" applyFont="1" applyBorder="1" applyAlignment="1">
      <alignment horizontal="center" vertical="top" wrapText="1"/>
    </xf>
    <xf numFmtId="0" fontId="28" fillId="5" borderId="30" xfId="17" applyFont="1" applyFill="1" applyBorder="1" applyAlignment="1">
      <alignment horizontal="center" vertical="top" wrapText="1"/>
    </xf>
    <xf numFmtId="0" fontId="28" fillId="5" borderId="33" xfId="17" applyFont="1" applyFill="1" applyBorder="1" applyAlignment="1">
      <alignment horizontal="center" vertical="top" wrapText="1"/>
    </xf>
    <xf numFmtId="0" fontId="28" fillId="0" borderId="10" xfId="17" applyFont="1" applyBorder="1" applyAlignment="1">
      <alignment horizontal="left" vertical="center" wrapText="1"/>
    </xf>
    <xf numFmtId="0" fontId="28" fillId="0" borderId="11" xfId="17" applyFont="1" applyBorder="1" applyAlignment="1">
      <alignment horizontal="left" vertical="center" wrapText="1"/>
    </xf>
    <xf numFmtId="165" fontId="0" fillId="11" borderId="6" xfId="11" applyNumberFormat="1" applyFont="1" applyFill="1" applyBorder="1" applyAlignment="1">
      <alignment horizontal="center"/>
    </xf>
    <xf numFmtId="165" fontId="46" fillId="0" borderId="0" xfId="11" applyNumberFormat="1" applyFont="1" applyFill="1" applyAlignment="1">
      <alignment horizontal="center"/>
    </xf>
    <xf numFmtId="0" fontId="44" fillId="11" borderId="6" xfId="9" applyFill="1" applyBorder="1" applyAlignment="1">
      <alignment horizontal="center"/>
    </xf>
    <xf numFmtId="0" fontId="44" fillId="0" borderId="0" xfId="9" applyAlignment="1">
      <alignment horizontal="center"/>
    </xf>
    <xf numFmtId="165" fontId="46" fillId="0" borderId="0" xfId="11" applyNumberFormat="1" applyFont="1" applyAlignment="1">
      <alignment horizontal="center"/>
    </xf>
    <xf numFmtId="165" fontId="8" fillId="0" borderId="6" xfId="9" applyNumberFormat="1" applyFont="1" applyBorder="1" applyAlignment="1">
      <alignment horizontal="center"/>
    </xf>
    <xf numFmtId="0" fontId="57" fillId="0" borderId="0" xfId="16" applyFont="1" applyAlignment="1">
      <alignment horizontal="right" vertical="top"/>
    </xf>
  </cellXfs>
  <cellStyles count="19">
    <cellStyle name="40% - Accent2 2" xfId="18" xr:uid="{0D7FE121-29D9-4863-9272-8F95EDDADF82}"/>
    <cellStyle name="Comma" xfId="8" builtinId="3"/>
    <cellStyle name="Comma 2" xfId="4" xr:uid="{A9B96B49-5749-4F79-9A58-9B4ED202243C}"/>
    <cellStyle name="Comma 3" xfId="6" xr:uid="{3E37829D-7E6B-4390-88B9-BC245E4F5C89}"/>
    <cellStyle name="Comma 4" xfId="10" xr:uid="{507DC2E9-0883-4FE9-9606-2FD4653F3CD4}"/>
    <cellStyle name="Comma 5" xfId="14" xr:uid="{B8AE5F6A-3927-4532-9403-09B53988A120}"/>
    <cellStyle name="Currency" xfId="1" builtinId="4"/>
    <cellStyle name="Currency 2" xfId="5" xr:uid="{B11F78BB-E5CE-4488-B02C-A942080D0852}"/>
    <cellStyle name="Currency 3" xfId="11" xr:uid="{D05FB749-879D-4567-A1A4-17BE358E3968}"/>
    <cellStyle name="Currency 4" xfId="13" xr:uid="{4F47161A-D54D-4E16-A742-DA6E8BF72E5E}"/>
    <cellStyle name="Normal" xfId="0" builtinId="0"/>
    <cellStyle name="Normal 2" xfId="2" xr:uid="{00000000-0005-0000-0000-000003000000}"/>
    <cellStyle name="Normal 3" xfId="3" xr:uid="{D8674B0D-83F2-4587-A845-8A529B2F4FC8}"/>
    <cellStyle name="Normal 4" xfId="7" xr:uid="{717D1CB5-5F87-4539-A6CD-0D454A5CBCC8}"/>
    <cellStyle name="Normal 4 2" xfId="17" xr:uid="{31CEE0B7-B3BC-47F6-851A-A7C25EB02CE9}"/>
    <cellStyle name="Normal 5" xfId="9" xr:uid="{29B450AE-B981-44EF-91D6-5C4EB9ADC787}"/>
    <cellStyle name="Normal 6" xfId="12" xr:uid="{0FBC0BEC-7DAF-4A54-A839-EF57FDE01C2C}"/>
    <cellStyle name="Normal 7" xfId="16" xr:uid="{A7711398-603E-45D2-A0A2-676E43EBBD6F}"/>
    <cellStyle name="Percent 2" xfId="15" xr:uid="{C6EC4369-6CE0-498F-BF45-6D4ACD6D4608}"/>
  </cellStyles>
  <dxfs count="32">
    <dxf>
      <font>
        <strike val="0"/>
        <condense val="0"/>
        <extend val="0"/>
        <color indexed="9"/>
      </font>
    </dxf>
    <dxf>
      <font>
        <strike val="0"/>
        <condense val="0"/>
        <extend val="0"/>
        <color indexed="9"/>
      </font>
    </dxf>
    <dxf>
      <font>
        <strike val="0"/>
        <condense val="0"/>
        <extend val="0"/>
        <color indexed="9"/>
      </font>
    </dxf>
    <dxf>
      <font>
        <strike val="0"/>
        <condense val="0"/>
        <extend val="0"/>
        <color indexed="9"/>
      </font>
    </dxf>
    <dxf>
      <font>
        <strike val="0"/>
        <condense val="0"/>
        <extend val="0"/>
        <color indexed="9"/>
      </font>
    </dxf>
    <dxf>
      <font>
        <strike val="0"/>
        <condense val="0"/>
        <extend val="0"/>
        <color indexed="9"/>
      </font>
    </dxf>
    <dxf>
      <font>
        <strike val="0"/>
        <condense val="0"/>
        <extend val="0"/>
        <color indexed="9"/>
      </font>
    </dxf>
    <dxf>
      <font>
        <strike val="0"/>
        <condense val="0"/>
        <extend val="0"/>
        <color indexed="9"/>
      </font>
    </dxf>
    <dxf>
      <font>
        <strike val="0"/>
        <condense val="0"/>
        <extend val="0"/>
        <color indexed="9"/>
      </font>
    </dxf>
    <dxf>
      <font>
        <strike val="0"/>
        <condense val="0"/>
        <extend val="0"/>
        <color indexed="9"/>
      </font>
    </dxf>
    <dxf>
      <font>
        <strike val="0"/>
        <condense val="0"/>
        <extend val="0"/>
        <color indexed="9"/>
      </font>
    </dxf>
    <dxf>
      <font>
        <strike val="0"/>
        <condense val="0"/>
        <extend val="0"/>
        <color indexed="9"/>
      </font>
    </dxf>
    <dxf>
      <font>
        <strike val="0"/>
        <condense val="0"/>
        <extend val="0"/>
        <color indexed="9"/>
      </font>
    </dxf>
    <dxf>
      <font>
        <strike val="0"/>
        <condense val="0"/>
        <extend val="0"/>
        <color indexed="9"/>
      </font>
    </dxf>
    <dxf>
      <font>
        <strike val="0"/>
        <condense val="0"/>
        <extend val="0"/>
        <color indexed="9"/>
      </font>
    </dxf>
    <dxf>
      <font>
        <strike val="0"/>
        <condense val="0"/>
        <extend val="0"/>
        <color indexed="9"/>
      </font>
    </dxf>
    <dxf>
      <font>
        <strike val="0"/>
        <condense val="0"/>
        <extend val="0"/>
        <color indexed="9"/>
      </font>
    </dxf>
    <dxf>
      <font>
        <strike val="0"/>
        <condense val="0"/>
        <extend val="0"/>
        <color indexed="9"/>
      </font>
    </dxf>
    <dxf>
      <font>
        <strike val="0"/>
        <condense val="0"/>
        <extend val="0"/>
        <color indexed="9"/>
      </font>
    </dxf>
    <dxf>
      <font>
        <strike val="0"/>
        <condense val="0"/>
        <extend val="0"/>
        <color indexed="9"/>
      </font>
    </dxf>
    <dxf>
      <font>
        <strike val="0"/>
        <condense val="0"/>
        <extend val="0"/>
        <color indexed="9"/>
      </font>
    </dxf>
    <dxf>
      <font>
        <strike val="0"/>
        <condense val="0"/>
        <extend val="0"/>
        <color indexed="9"/>
      </font>
    </dxf>
    <dxf>
      <font>
        <strike val="0"/>
        <condense val="0"/>
        <extend val="0"/>
        <color indexed="9"/>
      </font>
    </dxf>
    <dxf>
      <font>
        <strike val="0"/>
        <condense val="0"/>
        <extend val="0"/>
        <color indexed="9"/>
      </font>
    </dxf>
    <dxf>
      <font>
        <strike val="0"/>
        <condense val="0"/>
        <extend val="0"/>
        <color indexed="9"/>
      </font>
    </dxf>
    <dxf>
      <font>
        <strike val="0"/>
        <condense val="0"/>
        <extend val="0"/>
        <color indexed="9"/>
      </font>
    </dxf>
    <dxf>
      <font>
        <strike val="0"/>
        <condense val="0"/>
        <extend val="0"/>
        <color indexed="9"/>
      </font>
    </dxf>
    <dxf>
      <font>
        <strike val="0"/>
        <condense val="0"/>
        <extend val="0"/>
        <color indexed="9"/>
      </font>
    </dxf>
    <dxf>
      <font>
        <strike val="0"/>
        <condense val="0"/>
        <extend val="0"/>
        <color indexed="9"/>
      </font>
    </dxf>
    <dxf>
      <font>
        <strike val="0"/>
        <condense val="0"/>
        <extend val="0"/>
        <color indexed="9"/>
      </font>
    </dxf>
    <dxf>
      <font>
        <strike val="0"/>
        <condense val="0"/>
        <extend val="0"/>
        <color indexed="9"/>
      </font>
    </dxf>
    <dxf>
      <font>
        <strike val="0"/>
        <condense val="0"/>
        <extend val="0"/>
        <color indexed="9"/>
      </font>
    </dxf>
  </dxfs>
  <tableStyles count="0" defaultTableStyle="TableStyleMedium2" defaultPivotStyle="PivotStyleLight16"/>
  <colors>
    <mruColors>
      <color rgb="FFD6EDBD"/>
      <color rgb="FFFFFFCC"/>
      <color rgb="FFFFFF99"/>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26"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sheetMetadata" Target="metadata.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2.xml"/><Relationship Id="rId25"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17/10/relationships/person" Target="persons/perso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0</xdr:col>
      <xdr:colOff>57150</xdr:colOff>
      <xdr:row>0</xdr:row>
      <xdr:rowOff>171450</xdr:rowOff>
    </xdr:from>
    <xdr:ext cx="1371429" cy="790476"/>
    <xdr:pic>
      <xdr:nvPicPr>
        <xdr:cNvPr id="2" name="Picture 1">
          <a:extLst>
            <a:ext uri="{FF2B5EF4-FFF2-40B4-BE49-F238E27FC236}">
              <a16:creationId xmlns:a16="http://schemas.microsoft.com/office/drawing/2014/main" id="{01012F1C-2161-469D-9814-B04E3641DF2D}"/>
            </a:ext>
          </a:extLst>
        </xdr:cNvPr>
        <xdr:cNvPicPr>
          <a:picLocks noChangeAspect="1"/>
        </xdr:cNvPicPr>
      </xdr:nvPicPr>
      <xdr:blipFill>
        <a:blip xmlns:r="http://schemas.openxmlformats.org/officeDocument/2006/relationships" r:embed="rId1"/>
        <a:stretch>
          <a:fillRect/>
        </a:stretch>
      </xdr:blipFill>
      <xdr:spPr>
        <a:xfrm>
          <a:off x="57150" y="171450"/>
          <a:ext cx="1371429" cy="790476"/>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15</xdr:col>
      <xdr:colOff>66674</xdr:colOff>
      <xdr:row>3</xdr:row>
      <xdr:rowOff>57149</xdr:rowOff>
    </xdr:from>
    <xdr:to>
      <xdr:col>25</xdr:col>
      <xdr:colOff>14206</xdr:colOff>
      <xdr:row>16</xdr:row>
      <xdr:rowOff>180974</xdr:rowOff>
    </xdr:to>
    <xdr:pic>
      <xdr:nvPicPr>
        <xdr:cNvPr id="2" name="Picture 1">
          <a:extLst>
            <a:ext uri="{FF2B5EF4-FFF2-40B4-BE49-F238E27FC236}">
              <a16:creationId xmlns:a16="http://schemas.microsoft.com/office/drawing/2014/main" id="{2800C1F9-53B8-4E47-90C7-90A67485389D}"/>
            </a:ext>
          </a:extLst>
        </xdr:cNvPr>
        <xdr:cNvPicPr>
          <a:picLocks noChangeAspect="1"/>
        </xdr:cNvPicPr>
      </xdr:nvPicPr>
      <xdr:blipFill>
        <a:blip xmlns:r="http://schemas.openxmlformats.org/officeDocument/2006/relationships" r:embed="rId1"/>
        <a:stretch>
          <a:fillRect/>
        </a:stretch>
      </xdr:blipFill>
      <xdr:spPr>
        <a:xfrm>
          <a:off x="10610849" y="638174"/>
          <a:ext cx="6719807" cy="279082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INTERNAL_FY%202022-23%20Development%20Fee%20Workbook.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40%20-%20Administrative%20Services%20Dept/Finance/Finance%20Manager/Fees/Master%20Fee%20Schedule/FY2022-2023/Master%20Fee%20Schedule_FY2022-23_eff%20070222%20-%20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
      <sheetName val="Summary Sheet"/>
      <sheetName val="Parks &amp; Rec"/>
      <sheetName val="Public Works"/>
      <sheetName val="Police"/>
      <sheetName val="Fire"/>
      <sheetName val="WUSD"/>
      <sheetName val="Housing In-Lieu "/>
      <sheetName val="Tree Mitigation"/>
      <sheetName val="Engineering Svs Fees"/>
      <sheetName val="FY22-23 FEE Worksheet"/>
      <sheetName val="FY22-23 Inclusionary Fee"/>
      <sheetName val="IV. Engineering"/>
      <sheetName val="VI. Public Works"/>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of Changes "/>
      <sheetName val="Contents"/>
      <sheetName val="I. Administration"/>
      <sheetName val="II. Police"/>
      <sheetName val="III. Planning"/>
      <sheetName val="IV. Engineering"/>
      <sheetName val="V. Building"/>
      <sheetName val="VI. Public Works"/>
      <sheetName val="VII. Parks and Facilities"/>
      <sheetName val="VIII. Recreation"/>
      <sheetName val="IX. General"/>
      <sheetName val="Sheet1"/>
      <sheetName val="BLANK"/>
    </sheetNames>
    <sheetDataSet>
      <sheetData sheetId="0"/>
      <sheetData sheetId="1">
        <row r="2">
          <cell r="A2" t="str">
            <v xml:space="preserve">Master Fee Schedule, 2022-2023 </v>
          </cell>
        </row>
      </sheetData>
      <sheetData sheetId="2">
        <row r="2">
          <cell r="A2" t="str">
            <v xml:space="preserve">Master Fee Schedule, 2022-2023 </v>
          </cell>
        </row>
        <row r="5">
          <cell r="O5">
            <v>42186</v>
          </cell>
        </row>
        <row r="6">
          <cell r="O6">
            <v>2.4E-2</v>
          </cell>
          <cell r="R6">
            <v>3.2000000000000001E-2</v>
          </cell>
          <cell r="S6">
            <v>0.04</v>
          </cell>
          <cell r="T6">
            <v>1.0999999999999999E-2</v>
          </cell>
        </row>
      </sheetData>
      <sheetData sheetId="3"/>
      <sheetData sheetId="4"/>
      <sheetData sheetId="5"/>
      <sheetData sheetId="6"/>
      <sheetData sheetId="7"/>
      <sheetData sheetId="8"/>
      <sheetData sheetId="9"/>
      <sheetData sheetId="10"/>
      <sheetData sheetId="11"/>
      <sheetData sheetId="12"/>
    </sheetDataSet>
  </externalBook>
</externalLink>
</file>

<file path=xl/persons/person.xml><?xml version="1.0" encoding="utf-8"?>
<personList xmlns="http://schemas.microsoft.com/office/spreadsheetml/2018/threadedcomments" xmlns:x="http://schemas.openxmlformats.org/spreadsheetml/2006/main">
  <person displayName="Kristina Owens" id="{5BFA3982-7D4D-462D-BF3F-C47A81CC8887}" userId="S::kowens@townofwindsor.com::2f6ff4be-4abb-4bf4-998f-eb5b63b666dd"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H14" dT="2020-06-15T23:17:40.96" personId="{5BFA3982-7D4D-462D-BF3F-C47A81CC8887}" id="{7C0CE3F6-1B71-4DCB-AA02-C8C85F80C83D}">
    <text>JP - Do you have the Consultant Report to determine "construction, land acq. and facilites" costs that are hard coded for each section?</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0.bin"/><Relationship Id="rId4" Type="http://schemas.microsoft.com/office/2017/10/relationships/threadedComment" Target="../threadedComments/threadedComment1.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159B4E-047A-4E5D-8662-46B1E2714B00}">
  <sheetPr>
    <tabColor theme="3" tint="0.79998168889431442"/>
    <pageSetUpPr fitToPage="1"/>
  </sheetPr>
  <dimension ref="A1:Q97"/>
  <sheetViews>
    <sheetView tabSelected="1" zoomScaleNormal="100" workbookViewId="0">
      <selection activeCell="B5" sqref="B5:C5"/>
    </sheetView>
  </sheetViews>
  <sheetFormatPr defaultColWidth="9.33203125" defaultRowHeight="15.75"/>
  <cols>
    <col min="1" max="1" width="60.1640625" style="42" customWidth="1"/>
    <col min="2" max="2" width="25.6640625" style="63" customWidth="1"/>
    <col min="3" max="3" width="132.83203125" style="65" customWidth="1"/>
    <col min="4" max="16384" width="9.33203125" style="42"/>
  </cols>
  <sheetData>
    <row r="1" spans="1:3" s="40" customFormat="1" ht="51" customHeight="1">
      <c r="A1" s="659" t="s">
        <v>173</v>
      </c>
      <c r="B1" s="660"/>
      <c r="C1" s="661"/>
    </row>
    <row r="2" spans="1:3" s="40" customFormat="1" ht="51" customHeight="1" thickBot="1">
      <c r="A2" s="665" t="s">
        <v>174</v>
      </c>
      <c r="B2" s="666"/>
      <c r="C2" s="667"/>
    </row>
    <row r="3" spans="1:3" s="41" customFormat="1" ht="9.75" customHeight="1">
      <c r="A3" s="72"/>
      <c r="B3" s="72"/>
      <c r="C3" s="72"/>
    </row>
    <row r="4" spans="1:3" ht="19.5" thickBot="1">
      <c r="A4" s="662" t="s">
        <v>175</v>
      </c>
      <c r="B4" s="663"/>
      <c r="C4" s="664"/>
    </row>
    <row r="5" spans="1:3" ht="20.100000000000001" customHeight="1">
      <c r="A5" s="73" t="s">
        <v>125</v>
      </c>
      <c r="B5" s="668"/>
      <c r="C5" s="669"/>
    </row>
    <row r="6" spans="1:3" ht="20.100000000000001" customHeight="1">
      <c r="A6" s="73" t="s">
        <v>88</v>
      </c>
      <c r="B6" s="670"/>
      <c r="C6" s="671"/>
    </row>
    <row r="7" spans="1:3" ht="20.100000000000001" customHeight="1">
      <c r="A7" s="73" t="s">
        <v>99</v>
      </c>
      <c r="B7" s="670"/>
      <c r="C7" s="671"/>
    </row>
    <row r="8" spans="1:3" ht="20.100000000000001" customHeight="1">
      <c r="A8" s="73" t="s">
        <v>100</v>
      </c>
      <c r="B8" s="43"/>
      <c r="C8" s="72"/>
    </row>
    <row r="9" spans="1:3" ht="20.100000000000001" customHeight="1">
      <c r="A9" s="73" t="s">
        <v>101</v>
      </c>
      <c r="B9" s="44"/>
      <c r="C9" s="72"/>
    </row>
    <row r="10" spans="1:3" ht="20.100000000000001" customHeight="1">
      <c r="A10" s="73" t="s">
        <v>87</v>
      </c>
      <c r="B10" s="44"/>
      <c r="C10" s="72"/>
    </row>
    <row r="11" spans="1:3" ht="20.100000000000001" customHeight="1" thickBot="1">
      <c r="A11" s="73" t="s">
        <v>94</v>
      </c>
      <c r="B11" s="45"/>
      <c r="C11" s="72"/>
    </row>
    <row r="12" spans="1:3" ht="19.5" thickBot="1">
      <c r="A12" s="681" t="s">
        <v>302</v>
      </c>
      <c r="B12" s="682"/>
      <c r="C12" s="74" t="s">
        <v>86</v>
      </c>
    </row>
    <row r="13" spans="1:3" ht="20.100000000000001" customHeight="1">
      <c r="A13" s="75" t="s">
        <v>379</v>
      </c>
      <c r="B13" s="246">
        <f>SUM(B14:B15)</f>
        <v>0</v>
      </c>
      <c r="C13" s="77" t="s">
        <v>386</v>
      </c>
    </row>
    <row r="14" spans="1:3" ht="20.100000000000001" customHeight="1">
      <c r="A14" s="79" t="s">
        <v>387</v>
      </c>
      <c r="B14" s="46"/>
      <c r="C14" s="77"/>
    </row>
    <row r="15" spans="1:3" ht="20.100000000000001" customHeight="1">
      <c r="A15" s="243" t="s">
        <v>381</v>
      </c>
      <c r="B15" s="47"/>
      <c r="C15" s="77" t="s">
        <v>102</v>
      </c>
    </row>
    <row r="16" spans="1:3" ht="20.100000000000001" customHeight="1">
      <c r="A16" s="76" t="s">
        <v>376</v>
      </c>
      <c r="B16" s="47"/>
      <c r="C16" s="77" t="s">
        <v>303</v>
      </c>
    </row>
    <row r="17" spans="1:17" ht="31.5">
      <c r="A17" s="75" t="s">
        <v>382</v>
      </c>
      <c r="B17" s="47"/>
      <c r="C17" s="78" t="s">
        <v>389</v>
      </c>
      <c r="D17" s="48"/>
      <c r="E17" s="48"/>
      <c r="F17" s="48"/>
      <c r="G17" s="48"/>
      <c r="H17" s="48"/>
      <c r="I17" s="48"/>
      <c r="J17" s="48"/>
      <c r="K17" s="48"/>
      <c r="L17" s="48"/>
      <c r="M17" s="48"/>
      <c r="N17" s="48"/>
      <c r="O17" s="48"/>
      <c r="P17" s="48"/>
      <c r="Q17" s="48"/>
    </row>
    <row r="18" spans="1:17" ht="20.100000000000001" customHeight="1">
      <c r="A18" s="76" t="s">
        <v>377</v>
      </c>
      <c r="B18" s="47"/>
      <c r="C18" s="77" t="s">
        <v>303</v>
      </c>
      <c r="D18" s="48"/>
      <c r="E18" s="48"/>
      <c r="F18" s="48"/>
      <c r="G18" s="48"/>
      <c r="H18" s="48"/>
      <c r="I18" s="48"/>
      <c r="J18" s="48"/>
      <c r="K18" s="48"/>
      <c r="L18" s="48"/>
      <c r="M18" s="48"/>
      <c r="N18" s="48"/>
      <c r="O18" s="48"/>
      <c r="P18" s="48"/>
      <c r="Q18" s="48"/>
    </row>
    <row r="19" spans="1:17" ht="19.5" customHeight="1">
      <c r="A19" s="75" t="s">
        <v>120</v>
      </c>
      <c r="B19" s="47"/>
      <c r="C19" s="77" t="s">
        <v>110</v>
      </c>
    </row>
    <row r="20" spans="1:17" ht="20.100000000000001" customHeight="1">
      <c r="A20" s="244" t="s">
        <v>380</v>
      </c>
      <c r="B20" s="47"/>
      <c r="C20" s="77" t="s">
        <v>314</v>
      </c>
    </row>
    <row r="21" spans="1:17" ht="20.100000000000001" customHeight="1">
      <c r="A21" s="75" t="s">
        <v>313</v>
      </c>
      <c r="B21" s="47"/>
      <c r="C21" s="77"/>
    </row>
    <row r="22" spans="1:17" ht="22.5" customHeight="1" thickBot="1">
      <c r="A22" s="76" t="s">
        <v>378</v>
      </c>
      <c r="B22" s="49"/>
      <c r="C22" s="77" t="s">
        <v>303</v>
      </c>
    </row>
    <row r="23" spans="1:17" ht="19.5" thickBot="1">
      <c r="A23" s="681" t="s">
        <v>329</v>
      </c>
      <c r="B23" s="682"/>
      <c r="C23" s="74" t="s">
        <v>86</v>
      </c>
    </row>
    <row r="24" spans="1:17" ht="20.100000000000001" customHeight="1">
      <c r="A24" s="75" t="s">
        <v>328</v>
      </c>
      <c r="B24" s="50"/>
      <c r="C24" s="672" t="s">
        <v>390</v>
      </c>
    </row>
    <row r="25" spans="1:17" ht="20.100000000000001" customHeight="1">
      <c r="A25" s="75" t="s">
        <v>330</v>
      </c>
      <c r="B25" s="47"/>
      <c r="C25" s="673"/>
    </row>
    <row r="26" spans="1:17" ht="20.100000000000001" customHeight="1">
      <c r="A26" s="75" t="s">
        <v>331</v>
      </c>
      <c r="B26" s="47"/>
      <c r="C26" s="673"/>
    </row>
    <row r="27" spans="1:17" ht="20.100000000000001" customHeight="1">
      <c r="A27" s="75" t="s">
        <v>332</v>
      </c>
      <c r="B27" s="47"/>
      <c r="C27" s="673"/>
    </row>
    <row r="28" spans="1:17" ht="20.100000000000001" customHeight="1">
      <c r="A28" s="75" t="s">
        <v>333</v>
      </c>
      <c r="B28" s="47"/>
      <c r="C28" s="673"/>
    </row>
    <row r="29" spans="1:17" ht="20.100000000000001" customHeight="1">
      <c r="A29" s="75" t="s">
        <v>334</v>
      </c>
      <c r="B29" s="47"/>
      <c r="C29" s="673"/>
    </row>
    <row r="30" spans="1:17" ht="20.100000000000001" customHeight="1" thickBot="1">
      <c r="A30" s="75" t="s">
        <v>335</v>
      </c>
      <c r="B30" s="51"/>
      <c r="C30" s="674"/>
    </row>
    <row r="31" spans="1:17" ht="19.5" thickBot="1">
      <c r="A31" s="662" t="s">
        <v>300</v>
      </c>
      <c r="B31" s="682"/>
      <c r="C31" s="74" t="s">
        <v>86</v>
      </c>
    </row>
    <row r="32" spans="1:17" ht="20.100000000000001" customHeight="1">
      <c r="A32" s="75" t="s">
        <v>160</v>
      </c>
      <c r="B32" s="52"/>
      <c r="C32" s="72" t="s">
        <v>126</v>
      </c>
    </row>
    <row r="33" spans="1:3" ht="20.100000000000001" customHeight="1">
      <c r="A33" s="75" t="s">
        <v>161</v>
      </c>
      <c r="B33" s="53"/>
      <c r="C33" s="72" t="s">
        <v>127</v>
      </c>
    </row>
    <row r="34" spans="1:3" ht="20.100000000000001" customHeight="1">
      <c r="A34" s="75" t="s">
        <v>157</v>
      </c>
      <c r="B34" s="53"/>
      <c r="C34" s="675" t="s">
        <v>311</v>
      </c>
    </row>
    <row r="35" spans="1:3" ht="20.100000000000001" customHeight="1" thickBot="1">
      <c r="A35" s="75" t="s">
        <v>158</v>
      </c>
      <c r="B35" s="54"/>
      <c r="C35" s="676"/>
    </row>
    <row r="36" spans="1:3" ht="19.5" thickBot="1">
      <c r="A36" s="681" t="s">
        <v>301</v>
      </c>
      <c r="B36" s="682"/>
      <c r="C36" s="74" t="s">
        <v>86</v>
      </c>
    </row>
    <row r="37" spans="1:3" ht="20.100000000000001" customHeight="1">
      <c r="A37" s="75" t="s">
        <v>150</v>
      </c>
      <c r="B37" s="52"/>
      <c r="C37" s="677"/>
    </row>
    <row r="38" spans="1:3" ht="20.100000000000001" customHeight="1">
      <c r="A38" s="75" t="s">
        <v>151</v>
      </c>
      <c r="B38" s="53"/>
      <c r="C38" s="678"/>
    </row>
    <row r="39" spans="1:3" ht="20.100000000000001" customHeight="1">
      <c r="A39" s="75" t="s">
        <v>152</v>
      </c>
      <c r="B39" s="53"/>
      <c r="C39" s="678"/>
    </row>
    <row r="40" spans="1:3" ht="20.100000000000001" customHeight="1">
      <c r="A40" s="75" t="s">
        <v>153</v>
      </c>
      <c r="B40" s="53"/>
      <c r="C40" s="678"/>
    </row>
    <row r="41" spans="1:3" ht="20.100000000000001" customHeight="1">
      <c r="A41" s="75" t="s">
        <v>154</v>
      </c>
      <c r="B41" s="53"/>
      <c r="C41" s="678"/>
    </row>
    <row r="42" spans="1:3" ht="20.100000000000001" customHeight="1">
      <c r="A42" s="75" t="s">
        <v>155</v>
      </c>
      <c r="B42" s="53"/>
      <c r="C42" s="678"/>
    </row>
    <row r="43" spans="1:3" ht="20.100000000000001" customHeight="1" thickBot="1">
      <c r="A43" s="75" t="s">
        <v>156</v>
      </c>
      <c r="B43" s="54"/>
      <c r="C43" s="679"/>
    </row>
    <row r="44" spans="1:3" ht="19.5" thickBot="1">
      <c r="A44" s="681" t="s">
        <v>298</v>
      </c>
      <c r="B44" s="682"/>
      <c r="C44" s="74" t="s">
        <v>86</v>
      </c>
    </row>
    <row r="45" spans="1:3" ht="20.100000000000001" customHeight="1">
      <c r="A45" s="75" t="s">
        <v>157</v>
      </c>
      <c r="B45" s="55"/>
      <c r="C45" s="239"/>
    </row>
    <row r="46" spans="1:3" ht="20.100000000000001" customHeight="1">
      <c r="A46" s="75" t="s">
        <v>158</v>
      </c>
      <c r="B46" s="56"/>
      <c r="C46" s="240"/>
    </row>
    <row r="47" spans="1:3" ht="20.100000000000001" customHeight="1" thickBot="1">
      <c r="A47" s="75" t="s">
        <v>159</v>
      </c>
      <c r="B47" s="56"/>
      <c r="C47" s="241" t="s">
        <v>374</v>
      </c>
    </row>
    <row r="48" spans="1:3" ht="19.5" thickBot="1">
      <c r="A48" s="681" t="s">
        <v>319</v>
      </c>
      <c r="B48" s="682"/>
      <c r="C48" s="74" t="s">
        <v>86</v>
      </c>
    </row>
    <row r="49" spans="1:3" ht="20.100000000000001" customHeight="1">
      <c r="A49" s="75" t="s">
        <v>157</v>
      </c>
      <c r="B49" s="55"/>
      <c r="C49" s="680" t="s">
        <v>312</v>
      </c>
    </row>
    <row r="50" spans="1:3" ht="20.100000000000001" customHeight="1" thickBot="1">
      <c r="A50" s="75" t="s">
        <v>158</v>
      </c>
      <c r="B50" s="57"/>
      <c r="C50" s="676"/>
    </row>
    <row r="51" spans="1:3" ht="19.5" thickBot="1">
      <c r="A51" s="681" t="s">
        <v>299</v>
      </c>
      <c r="B51" s="682"/>
      <c r="C51" s="74" t="s">
        <v>86</v>
      </c>
    </row>
    <row r="52" spans="1:3" ht="20.100000000000001" customHeight="1">
      <c r="A52" s="75" t="s">
        <v>150</v>
      </c>
      <c r="B52" s="55"/>
      <c r="C52" s="677"/>
    </row>
    <row r="53" spans="1:3" ht="20.100000000000001" customHeight="1">
      <c r="A53" s="75" t="s">
        <v>151</v>
      </c>
      <c r="B53" s="56"/>
      <c r="C53" s="678"/>
    </row>
    <row r="54" spans="1:3" ht="20.100000000000001" customHeight="1">
      <c r="A54" s="75" t="s">
        <v>152</v>
      </c>
      <c r="B54" s="56"/>
      <c r="C54" s="678"/>
    </row>
    <row r="55" spans="1:3" ht="20.100000000000001" customHeight="1" thickBot="1">
      <c r="A55" s="75" t="s">
        <v>153</v>
      </c>
      <c r="B55" s="57"/>
      <c r="C55" s="679"/>
    </row>
    <row r="56" spans="1:3" ht="19.5" thickBot="1">
      <c r="A56" s="681" t="s">
        <v>345</v>
      </c>
      <c r="B56" s="682"/>
      <c r="C56" s="74" t="s">
        <v>86</v>
      </c>
    </row>
    <row r="57" spans="1:3" ht="20.100000000000001" customHeight="1">
      <c r="A57" s="685" t="s">
        <v>150</v>
      </c>
      <c r="B57" s="686"/>
      <c r="C57" s="677"/>
    </row>
    <row r="58" spans="1:3" ht="20.100000000000001" customHeight="1">
      <c r="A58" s="79" t="s">
        <v>73</v>
      </c>
      <c r="B58" s="56"/>
      <c r="C58" s="678"/>
    </row>
    <row r="59" spans="1:3" ht="20.100000000000001" customHeight="1">
      <c r="A59" s="79" t="s">
        <v>74</v>
      </c>
      <c r="B59" s="56"/>
      <c r="C59" s="678"/>
    </row>
    <row r="60" spans="1:3" ht="20.100000000000001" customHeight="1">
      <c r="A60" s="79" t="s">
        <v>75</v>
      </c>
      <c r="B60" s="56"/>
      <c r="C60" s="678"/>
    </row>
    <row r="61" spans="1:3" ht="20.100000000000001" customHeight="1">
      <c r="A61" s="657" t="s">
        <v>151</v>
      </c>
      <c r="B61" s="658"/>
      <c r="C61" s="678"/>
    </row>
    <row r="62" spans="1:3" ht="20.100000000000001" customHeight="1">
      <c r="A62" s="79" t="s">
        <v>73</v>
      </c>
      <c r="B62" s="56"/>
      <c r="C62" s="678"/>
    </row>
    <row r="63" spans="1:3" ht="20.100000000000001" customHeight="1">
      <c r="A63" s="79" t="s">
        <v>74</v>
      </c>
      <c r="B63" s="58"/>
      <c r="C63" s="678"/>
    </row>
    <row r="64" spans="1:3" ht="20.100000000000001" customHeight="1">
      <c r="A64" s="79" t="s">
        <v>75</v>
      </c>
      <c r="B64" s="56"/>
      <c r="C64" s="678"/>
    </row>
    <row r="65" spans="1:3" ht="20.100000000000001" customHeight="1">
      <c r="A65" s="657" t="s">
        <v>152</v>
      </c>
      <c r="B65" s="658"/>
      <c r="C65" s="678"/>
    </row>
    <row r="66" spans="1:3" ht="20.100000000000001" customHeight="1">
      <c r="A66" s="79" t="s">
        <v>73</v>
      </c>
      <c r="B66" s="56"/>
      <c r="C66" s="678"/>
    </row>
    <row r="67" spans="1:3" ht="20.100000000000001" customHeight="1">
      <c r="A67" s="79" t="s">
        <v>74</v>
      </c>
      <c r="B67" s="58"/>
      <c r="C67" s="678"/>
    </row>
    <row r="68" spans="1:3" ht="20.100000000000001" customHeight="1">
      <c r="A68" s="79" t="s">
        <v>75</v>
      </c>
      <c r="B68" s="56"/>
      <c r="C68" s="678"/>
    </row>
    <row r="69" spans="1:3" ht="20.100000000000001" customHeight="1">
      <c r="A69" s="657" t="s">
        <v>153</v>
      </c>
      <c r="B69" s="658"/>
      <c r="C69" s="678"/>
    </row>
    <row r="70" spans="1:3" ht="20.100000000000001" customHeight="1">
      <c r="A70" s="79" t="s">
        <v>73</v>
      </c>
      <c r="B70" s="56"/>
      <c r="C70" s="678"/>
    </row>
    <row r="71" spans="1:3" ht="20.100000000000001" customHeight="1">
      <c r="A71" s="79" t="s">
        <v>74</v>
      </c>
      <c r="B71" s="58"/>
      <c r="C71" s="678"/>
    </row>
    <row r="72" spans="1:3" ht="20.100000000000001" customHeight="1">
      <c r="A72" s="79" t="s">
        <v>75</v>
      </c>
      <c r="B72" s="56"/>
      <c r="C72" s="678"/>
    </row>
    <row r="73" spans="1:3" ht="20.100000000000001" customHeight="1">
      <c r="A73" s="657" t="s">
        <v>154</v>
      </c>
      <c r="B73" s="658"/>
      <c r="C73" s="678"/>
    </row>
    <row r="74" spans="1:3" ht="20.100000000000001" customHeight="1">
      <c r="A74" s="79" t="s">
        <v>73</v>
      </c>
      <c r="B74" s="56"/>
      <c r="C74" s="678"/>
    </row>
    <row r="75" spans="1:3" ht="20.100000000000001" customHeight="1">
      <c r="A75" s="79" t="s">
        <v>74</v>
      </c>
      <c r="B75" s="56"/>
      <c r="C75" s="678"/>
    </row>
    <row r="76" spans="1:3" ht="20.100000000000001" customHeight="1">
      <c r="A76" s="79" t="s">
        <v>75</v>
      </c>
      <c r="B76" s="56"/>
      <c r="C76" s="678"/>
    </row>
    <row r="77" spans="1:3" ht="20.100000000000001" customHeight="1">
      <c r="A77" s="657" t="s">
        <v>155</v>
      </c>
      <c r="B77" s="658"/>
      <c r="C77" s="678"/>
    </row>
    <row r="78" spans="1:3" ht="20.100000000000001" customHeight="1">
      <c r="A78" s="79" t="s">
        <v>73</v>
      </c>
      <c r="B78" s="56"/>
      <c r="C78" s="678"/>
    </row>
    <row r="79" spans="1:3" ht="20.100000000000001" customHeight="1">
      <c r="A79" s="79" t="s">
        <v>74</v>
      </c>
      <c r="B79" s="58"/>
      <c r="C79" s="678"/>
    </row>
    <row r="80" spans="1:3" ht="20.100000000000001" customHeight="1">
      <c r="A80" s="79" t="s">
        <v>75</v>
      </c>
      <c r="B80" s="56"/>
      <c r="C80" s="678"/>
    </row>
    <row r="81" spans="1:3" ht="20.100000000000001" customHeight="1">
      <c r="A81" s="657" t="s">
        <v>156</v>
      </c>
      <c r="B81" s="658"/>
      <c r="C81" s="678"/>
    </row>
    <row r="82" spans="1:3" ht="20.100000000000001" customHeight="1">
      <c r="A82" s="79" t="s">
        <v>73</v>
      </c>
      <c r="B82" s="56"/>
      <c r="C82" s="678"/>
    </row>
    <row r="83" spans="1:3" ht="20.100000000000001" customHeight="1">
      <c r="A83" s="79" t="s">
        <v>74</v>
      </c>
      <c r="B83" s="58"/>
      <c r="C83" s="678"/>
    </row>
    <row r="84" spans="1:3" ht="20.100000000000001" customHeight="1" thickBot="1">
      <c r="A84" s="79" t="s">
        <v>75</v>
      </c>
      <c r="B84" s="57"/>
      <c r="C84" s="679"/>
    </row>
    <row r="85" spans="1:3" ht="34.5" customHeight="1" thickBot="1">
      <c r="A85" s="683" t="s">
        <v>338</v>
      </c>
      <c r="B85" s="684"/>
      <c r="C85" s="74" t="s">
        <v>86</v>
      </c>
    </row>
    <row r="86" spans="1:3">
      <c r="A86" s="687" t="s">
        <v>339</v>
      </c>
      <c r="B86" s="687"/>
      <c r="C86" s="687"/>
    </row>
    <row r="87" spans="1:3" ht="20.100000000000001" customHeight="1">
      <c r="A87" s="224" t="s">
        <v>118</v>
      </c>
      <c r="B87" s="59"/>
      <c r="C87" s="72"/>
    </row>
    <row r="88" spans="1:3" ht="20.100000000000001" customHeight="1">
      <c r="A88" s="224" t="s">
        <v>115</v>
      </c>
      <c r="B88" s="59"/>
      <c r="C88" s="72" t="s">
        <v>117</v>
      </c>
    </row>
    <row r="89" spans="1:3" ht="20.100000000000001" customHeight="1" thickBot="1">
      <c r="A89" s="224" t="s">
        <v>116</v>
      </c>
      <c r="B89" s="60"/>
      <c r="C89" s="72" t="s">
        <v>117</v>
      </c>
    </row>
    <row r="90" spans="1:3" ht="19.5" thickBot="1">
      <c r="A90" s="681" t="s">
        <v>149</v>
      </c>
      <c r="B90" s="682"/>
      <c r="C90" s="74" t="s">
        <v>86</v>
      </c>
    </row>
    <row r="91" spans="1:3" ht="20.100000000000001" customHeight="1">
      <c r="A91" s="224" t="s">
        <v>105</v>
      </c>
      <c r="B91" s="61"/>
      <c r="C91" s="72"/>
    </row>
    <row r="92" spans="1:3" ht="20.100000000000001" customHeight="1">
      <c r="A92" s="224" t="s">
        <v>106</v>
      </c>
      <c r="B92" s="62"/>
      <c r="C92" s="72" t="s">
        <v>122</v>
      </c>
    </row>
    <row r="93" spans="1:3" ht="31.5">
      <c r="A93" s="224" t="s">
        <v>95</v>
      </c>
      <c r="B93" s="62"/>
      <c r="C93" s="80" t="s">
        <v>310</v>
      </c>
    </row>
    <row r="94" spans="1:3" ht="20.100000000000001" customHeight="1">
      <c r="A94" s="224" t="s">
        <v>38</v>
      </c>
      <c r="B94" s="53"/>
      <c r="C94" s="72"/>
    </row>
    <row r="97" spans="3:3">
      <c r="C97" s="64"/>
    </row>
  </sheetData>
  <sheetProtection algorithmName="SHA-512" hashValue="T3QGdImJ9/EVaXl391uhjfr4/aLhUPFxVHlMX1FCTPEsFz/fW730EQVQhSDA80/3Zd8/wtuFxew8O2XVNmwRnQ==" saltValue="z8hqZ/5T/Erbf0J1WnBk4w==" spinCount="100000" sheet="1" objects="1" scenarios="1"/>
  <mergeCells count="30">
    <mergeCell ref="A90:B90"/>
    <mergeCell ref="A12:B12"/>
    <mergeCell ref="A23:B23"/>
    <mergeCell ref="A31:B31"/>
    <mergeCell ref="A44:B44"/>
    <mergeCell ref="A48:B48"/>
    <mergeCell ref="A36:B36"/>
    <mergeCell ref="A56:B56"/>
    <mergeCell ref="A85:B85"/>
    <mergeCell ref="A57:B57"/>
    <mergeCell ref="A61:B61"/>
    <mergeCell ref="A65:B65"/>
    <mergeCell ref="A86:C86"/>
    <mergeCell ref="C52:C55"/>
    <mergeCell ref="C57:C84"/>
    <mergeCell ref="A81:B81"/>
    <mergeCell ref="A77:B77"/>
    <mergeCell ref="A1:C1"/>
    <mergeCell ref="A4:C4"/>
    <mergeCell ref="A2:C2"/>
    <mergeCell ref="A69:B69"/>
    <mergeCell ref="A73:B73"/>
    <mergeCell ref="B5:C5"/>
    <mergeCell ref="B6:C6"/>
    <mergeCell ref="B7:C7"/>
    <mergeCell ref="C24:C30"/>
    <mergeCell ref="C34:C35"/>
    <mergeCell ref="C37:C43"/>
    <mergeCell ref="C49:C50"/>
    <mergeCell ref="A51:B51"/>
  </mergeCells>
  <printOptions horizontalCentered="1"/>
  <pageMargins left="0.25" right="0.25" top="0.75" bottom="0.75" header="0.3" footer="0.3"/>
  <pageSetup scale="52" fitToHeight="0" orientation="portrait" r:id="rId1"/>
  <headerFooter>
    <oddHeader>&amp;R&amp;"Times New Roman,Italic"Document Prepared on &amp;D</oddHeader>
    <oddFooter>&amp;L&amp;F&amp;R&amp;P</oddFooter>
    <firstFooter>&amp;C&amp;Z&amp;F&amp;R&amp;N</firstFooter>
  </headerFooter>
  <rowBreaks count="1" manualBreakCount="1">
    <brk id="55"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988E52-21DF-4DFE-8FDD-C9C9F2897468}">
  <sheetPr>
    <tabColor theme="3" tint="0.79998168889431442"/>
    <pageSetUpPr fitToPage="1"/>
  </sheetPr>
  <dimension ref="A1:G31"/>
  <sheetViews>
    <sheetView zoomScaleNormal="100" workbookViewId="0">
      <selection activeCell="B3" sqref="B3:D3"/>
    </sheetView>
  </sheetViews>
  <sheetFormatPr defaultColWidth="9.33203125" defaultRowHeight="12.75"/>
  <cols>
    <col min="1" max="1" width="47.83203125" style="69" customWidth="1"/>
    <col min="2" max="4" width="25.83203125" style="69" customWidth="1"/>
    <col min="5" max="5" width="0" style="69" hidden="1" customWidth="1"/>
    <col min="6" max="16384" width="9.33203125" style="69"/>
  </cols>
  <sheetData>
    <row r="1" spans="1:4" ht="51" customHeight="1">
      <c r="A1" s="659" t="s">
        <v>172</v>
      </c>
      <c r="B1" s="660"/>
      <c r="C1" s="660"/>
      <c r="D1" s="661"/>
    </row>
    <row r="2" spans="1:4" ht="51" customHeight="1" thickBot="1">
      <c r="A2" s="665" t="s">
        <v>171</v>
      </c>
      <c r="B2" s="666"/>
      <c r="C2" s="666"/>
      <c r="D2" s="667"/>
    </row>
    <row r="3" spans="1:4" ht="20.100000000000001" customHeight="1">
      <c r="A3" s="92" t="s">
        <v>125</v>
      </c>
      <c r="B3" s="697">
        <f>'Data Sheet'!B5</f>
        <v>0</v>
      </c>
      <c r="C3" s="698"/>
      <c r="D3" s="699"/>
    </row>
    <row r="4" spans="1:4" ht="20.100000000000001" customHeight="1">
      <c r="A4" s="92" t="s">
        <v>88</v>
      </c>
      <c r="B4" s="700">
        <f>'Data Sheet'!B6</f>
        <v>0</v>
      </c>
      <c r="C4" s="701"/>
      <c r="D4" s="702"/>
    </row>
    <row r="5" spans="1:4" ht="20.100000000000001" customHeight="1">
      <c r="A5" s="92" t="s">
        <v>99</v>
      </c>
      <c r="B5" s="700">
        <f>'Data Sheet'!B7</f>
        <v>0</v>
      </c>
      <c r="C5" s="701"/>
      <c r="D5" s="702"/>
    </row>
    <row r="6" spans="1:4" ht="20.100000000000001" customHeight="1" thickBot="1">
      <c r="A6" s="248" t="s">
        <v>101</v>
      </c>
      <c r="B6" s="249">
        <f>'Data Sheet'!B9</f>
        <v>0</v>
      </c>
      <c r="C6" s="250"/>
      <c r="D6" s="251"/>
    </row>
    <row r="7" spans="1:4" ht="20.100000000000001" customHeight="1" thickBot="1">
      <c r="A7" s="252" t="s">
        <v>13</v>
      </c>
      <c r="B7" s="253"/>
      <c r="C7" s="254"/>
      <c r="D7" s="255">
        <f>'Parks &amp; Rec'!E33</f>
        <v>0</v>
      </c>
    </row>
    <row r="8" spans="1:4" ht="20.100000000000001" customHeight="1" thickTop="1" thickBot="1">
      <c r="A8" s="256" t="s">
        <v>19</v>
      </c>
      <c r="B8" s="257"/>
      <c r="C8" s="258"/>
      <c r="D8" s="259">
        <f>Police!E16</f>
        <v>0</v>
      </c>
    </row>
    <row r="9" spans="1:4" ht="20.100000000000001" customHeight="1" thickTop="1" thickBot="1">
      <c r="A9" s="260" t="s">
        <v>10</v>
      </c>
      <c r="B9" s="261"/>
      <c r="C9" s="258"/>
      <c r="D9" s="262">
        <f>'Public Works'!F118</f>
        <v>0</v>
      </c>
    </row>
    <row r="10" spans="1:4" ht="20.100000000000001" customHeight="1" thickTop="1">
      <c r="A10" s="263" t="s">
        <v>20</v>
      </c>
      <c r="B10" s="264"/>
      <c r="C10" s="265">
        <f>'Public Works'!F21</f>
        <v>0</v>
      </c>
      <c r="D10" s="266"/>
    </row>
    <row r="11" spans="1:4" ht="20.100000000000001" customHeight="1">
      <c r="A11" s="263" t="s">
        <v>21</v>
      </c>
      <c r="B11" s="264"/>
      <c r="C11" s="267">
        <f>'Public Works'!F38</f>
        <v>0</v>
      </c>
      <c r="D11" s="266"/>
    </row>
    <row r="12" spans="1:4" ht="20.100000000000001" customHeight="1">
      <c r="A12" s="263" t="s">
        <v>22</v>
      </c>
      <c r="B12" s="264"/>
      <c r="C12" s="267">
        <f>'Public Works'!F67</f>
        <v>0</v>
      </c>
      <c r="D12" s="266"/>
    </row>
    <row r="13" spans="1:4" ht="20.100000000000001" customHeight="1">
      <c r="A13" s="268" t="s">
        <v>11</v>
      </c>
      <c r="B13" s="267">
        <f>'Public Works'!F47</f>
        <v>0</v>
      </c>
      <c r="C13" s="264"/>
      <c r="D13" s="266"/>
    </row>
    <row r="14" spans="1:4" ht="20.100000000000001" customHeight="1">
      <c r="A14" s="268" t="s">
        <v>12</v>
      </c>
      <c r="B14" s="267">
        <f>'Public Works'!F61</f>
        <v>0</v>
      </c>
      <c r="C14" s="264"/>
      <c r="D14" s="266"/>
    </row>
    <row r="15" spans="1:4" ht="20.100000000000001" customHeight="1">
      <c r="A15" s="268" t="s">
        <v>344</v>
      </c>
      <c r="B15" s="267">
        <f>'Public Works'!F66</f>
        <v>0</v>
      </c>
      <c r="C15" s="264"/>
      <c r="D15" s="266"/>
    </row>
    <row r="16" spans="1:4" ht="20.100000000000001" customHeight="1">
      <c r="A16" s="263" t="s">
        <v>23</v>
      </c>
      <c r="B16" s="264"/>
      <c r="C16" s="267">
        <f>'Public Works'!F79</f>
        <v>0</v>
      </c>
      <c r="D16" s="266"/>
    </row>
    <row r="17" spans="1:7" ht="20.100000000000001" customHeight="1" thickBot="1">
      <c r="A17" s="263" t="s">
        <v>337</v>
      </c>
      <c r="B17" s="269"/>
      <c r="C17" s="270">
        <f>'Public Works'!F110+'Public Works'!F116</f>
        <v>0</v>
      </c>
      <c r="D17" s="266"/>
    </row>
    <row r="18" spans="1:7" ht="20.100000000000001" customHeight="1" thickTop="1" thickBot="1">
      <c r="A18" s="271" t="s">
        <v>307</v>
      </c>
      <c r="B18" s="272"/>
      <c r="C18" s="272"/>
      <c r="D18" s="259" cm="1">
        <f t="array" ref="D18:E18">'Housing In-Lieu '!E13:F13</f>
        <v>0</v>
      </c>
      <c r="E18" s="69">
        <v>0</v>
      </c>
    </row>
    <row r="19" spans="1:7" ht="20.100000000000001" customHeight="1" thickTop="1" thickBot="1">
      <c r="A19" s="706" t="s">
        <v>309</v>
      </c>
      <c r="B19" s="707"/>
      <c r="C19" s="708"/>
      <c r="D19" s="259">
        <f>'Tree Mitigation'!E80</f>
        <v>0</v>
      </c>
    </row>
    <row r="20" spans="1:7" ht="21.75" customHeight="1" thickTop="1" thickBot="1">
      <c r="A20" s="706" t="s">
        <v>308</v>
      </c>
      <c r="B20" s="707"/>
      <c r="C20" s="708"/>
      <c r="D20" s="259">
        <v>0</v>
      </c>
    </row>
    <row r="21" spans="1:7" ht="20.100000000000001" customHeight="1" thickTop="1" thickBot="1">
      <c r="A21" s="703" t="s">
        <v>25</v>
      </c>
      <c r="B21" s="704"/>
      <c r="C21" s="705"/>
      <c r="D21" s="259">
        <v>0</v>
      </c>
    </row>
    <row r="22" spans="1:7" ht="20.100000000000001" customHeight="1" thickTop="1" thickBot="1">
      <c r="A22" s="706" t="s">
        <v>29</v>
      </c>
      <c r="B22" s="707"/>
      <c r="C22" s="708"/>
      <c r="D22" s="259">
        <v>0</v>
      </c>
    </row>
    <row r="23" spans="1:7" ht="20.100000000000001" customHeight="1" thickTop="1" thickBot="1">
      <c r="A23" s="709" t="s">
        <v>24</v>
      </c>
      <c r="B23" s="710"/>
      <c r="C23" s="711"/>
      <c r="D23" s="259">
        <f>SUM(D7:D22)</f>
        <v>0</v>
      </c>
    </row>
    <row r="24" spans="1:7" ht="20.100000000000001" customHeight="1" thickTop="1" thickBot="1">
      <c r="A24" s="712" t="s">
        <v>305</v>
      </c>
      <c r="B24" s="713"/>
      <c r="C24" s="714"/>
      <c r="D24" s="259">
        <f>WUSD!E13</f>
        <v>0</v>
      </c>
    </row>
    <row r="25" spans="1:7" ht="20.100000000000001" customHeight="1" thickTop="1" thickBot="1">
      <c r="A25" s="712" t="s">
        <v>306</v>
      </c>
      <c r="B25" s="713"/>
      <c r="C25" s="714"/>
      <c r="D25" s="273">
        <f>Fire!E21</f>
        <v>0</v>
      </c>
    </row>
    <row r="26" spans="1:7" ht="20.100000000000001" customHeight="1" thickTop="1" thickBot="1">
      <c r="A26" s="715" t="s">
        <v>8</v>
      </c>
      <c r="B26" s="716"/>
      <c r="C26" s="717"/>
      <c r="D26" s="262">
        <f>SUM(D23:D25)</f>
        <v>0</v>
      </c>
    </row>
    <row r="27" spans="1:7" ht="20.100000000000001" customHeight="1" thickTop="1">
      <c r="A27" s="718" t="s">
        <v>845</v>
      </c>
      <c r="B27" s="719"/>
      <c r="C27" s="719"/>
      <c r="D27" s="720"/>
    </row>
    <row r="28" spans="1:7" ht="20.100000000000001" customHeight="1">
      <c r="A28" s="694" t="s">
        <v>304</v>
      </c>
      <c r="B28" s="695"/>
      <c r="C28" s="695"/>
      <c r="D28" s="696"/>
    </row>
    <row r="29" spans="1:7" ht="20.100000000000001" customHeight="1">
      <c r="A29" s="688" t="s">
        <v>147</v>
      </c>
      <c r="B29" s="689"/>
      <c r="C29" s="689"/>
      <c r="D29" s="690"/>
    </row>
    <row r="30" spans="1:7" ht="20.25" customHeight="1">
      <c r="A30" s="688" t="s">
        <v>148</v>
      </c>
      <c r="B30" s="689"/>
      <c r="C30" s="689"/>
      <c r="D30" s="690"/>
      <c r="E30" s="247"/>
      <c r="F30" s="247"/>
      <c r="G30" s="247"/>
    </row>
    <row r="31" spans="1:7" ht="20.100000000000001" customHeight="1">
      <c r="A31" s="691"/>
      <c r="B31" s="692"/>
      <c r="C31" s="692"/>
      <c r="D31" s="693"/>
    </row>
  </sheetData>
  <sheetProtection algorithmName="SHA-512" hashValue="dnRDnvWpJMtwlFlK1ruq2rjPvbGPmt2DVynxT9HfRuzrG6fBnzjIFYiOS6OXCP/7ygM/eaVAb2VWkweRAWHNVA==" saltValue="EhvmQymHnBhSnTmvieG9GQ==" spinCount="100000" sheet="1" objects="1" scenarios="1"/>
  <mergeCells count="18">
    <mergeCell ref="A26:C26"/>
    <mergeCell ref="A27:D27"/>
    <mergeCell ref="A29:D29"/>
    <mergeCell ref="A30:D30"/>
    <mergeCell ref="A31:D31"/>
    <mergeCell ref="A1:D1"/>
    <mergeCell ref="A28:D28"/>
    <mergeCell ref="A2:D2"/>
    <mergeCell ref="B3:D3"/>
    <mergeCell ref="B4:D4"/>
    <mergeCell ref="B5:D5"/>
    <mergeCell ref="A21:C21"/>
    <mergeCell ref="A19:C19"/>
    <mergeCell ref="A20:C20"/>
    <mergeCell ref="A22:C22"/>
    <mergeCell ref="A23:C23"/>
    <mergeCell ref="A24:C24"/>
    <mergeCell ref="A25:C25"/>
  </mergeCells>
  <printOptions horizontalCentered="1"/>
  <pageMargins left="0.25" right="0.25" top="0.75" bottom="0.75" header="0.3" footer="0.3"/>
  <pageSetup scale="91" fitToHeight="0" orientation="portrait" r:id="rId1"/>
  <headerFooter>
    <oddHeader>&amp;RDocument Prepared on &amp;D</oddHeader>
    <oddFooter>&amp;L&amp;F&amp;R&amp;P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6DE463-8B5C-4A60-8E08-C705C69E7E7C}">
  <sheetPr>
    <tabColor theme="2" tint="-0.249977111117893"/>
    <pageSetUpPr fitToPage="1"/>
  </sheetPr>
  <dimension ref="A1:L43"/>
  <sheetViews>
    <sheetView zoomScaleNormal="100" workbookViewId="0">
      <selection activeCell="B3" sqref="B3:F3"/>
    </sheetView>
  </sheetViews>
  <sheetFormatPr defaultColWidth="9.33203125" defaultRowHeight="12.75"/>
  <cols>
    <col min="1" max="1" width="55.33203125" style="69" customWidth="1"/>
    <col min="2" max="2" width="23.6640625" style="69" customWidth="1"/>
    <col min="3" max="3" width="21.1640625" style="215" customWidth="1"/>
    <col min="4" max="4" width="18.83203125" style="69" customWidth="1"/>
    <col min="5" max="6" width="15.83203125" style="69" customWidth="1"/>
    <col min="7" max="7" width="3.5" style="69" customWidth="1"/>
    <col min="8" max="8" width="31" style="70" hidden="1" customWidth="1"/>
    <col min="9" max="9" width="18.6640625" style="69" hidden="1" customWidth="1"/>
    <col min="10" max="10" width="0" style="69" hidden="1" customWidth="1"/>
    <col min="11" max="11" width="9.33203125" style="69"/>
    <col min="12" max="12" width="10.1640625" style="69" bestFit="1" customWidth="1"/>
    <col min="13" max="18" width="9.33203125" style="69"/>
    <col min="19" max="19" width="12.83203125" style="69" customWidth="1"/>
    <col min="20" max="16384" width="9.33203125" style="69"/>
  </cols>
  <sheetData>
    <row r="1" spans="1:12" ht="50.1" customHeight="1">
      <c r="A1" s="745" t="s">
        <v>166</v>
      </c>
      <c r="B1" s="746"/>
      <c r="C1" s="746"/>
      <c r="D1" s="746"/>
      <c r="E1" s="746"/>
      <c r="F1" s="747"/>
      <c r="G1" s="210"/>
      <c r="H1" s="211"/>
      <c r="I1" s="210"/>
    </row>
    <row r="2" spans="1:12" ht="50.1" customHeight="1" thickBot="1">
      <c r="A2" s="748" t="s">
        <v>169</v>
      </c>
      <c r="B2" s="749"/>
      <c r="C2" s="749"/>
      <c r="D2" s="749"/>
      <c r="E2" s="749"/>
      <c r="F2" s="750"/>
      <c r="G2" s="210"/>
      <c r="H2" s="211"/>
      <c r="I2" s="210"/>
    </row>
    <row r="3" spans="1:12" s="42" customFormat="1" ht="20.100000000000001" customHeight="1" thickTop="1">
      <c r="A3" s="192" t="s">
        <v>89</v>
      </c>
      <c r="B3" s="751">
        <f>'Data Sheet'!B5</f>
        <v>0</v>
      </c>
      <c r="C3" s="752"/>
      <c r="D3" s="752"/>
      <c r="E3" s="752"/>
      <c r="F3" s="753"/>
      <c r="G3" s="199"/>
      <c r="H3" s="200"/>
      <c r="I3" s="199"/>
    </row>
    <row r="4" spans="1:12" s="42" customFormat="1" ht="20.100000000000001" customHeight="1">
      <c r="A4" s="92" t="s">
        <v>90</v>
      </c>
      <c r="B4" s="754">
        <f>'Data Sheet'!B6</f>
        <v>0</v>
      </c>
      <c r="C4" s="755"/>
      <c r="D4" s="755"/>
      <c r="E4" s="755"/>
      <c r="F4" s="756"/>
      <c r="G4" s="199"/>
      <c r="H4" s="200"/>
      <c r="I4" s="199"/>
    </row>
    <row r="5" spans="1:12" s="42" customFormat="1" ht="20.100000000000001" customHeight="1">
      <c r="A5" s="92" t="s">
        <v>91</v>
      </c>
      <c r="B5" s="754">
        <f>'Data Sheet'!B7</f>
        <v>0</v>
      </c>
      <c r="C5" s="755"/>
      <c r="D5" s="93"/>
      <c r="E5" s="93"/>
      <c r="F5" s="94"/>
      <c r="G5" s="199"/>
      <c r="H5" s="200"/>
      <c r="I5" s="199"/>
    </row>
    <row r="6" spans="1:12" s="42" customFormat="1" ht="20.100000000000001" customHeight="1" thickBot="1">
      <c r="A6" s="92" t="s">
        <v>92</v>
      </c>
      <c r="B6" s="761">
        <f>'Data Sheet'!B9</f>
        <v>0</v>
      </c>
      <c r="C6" s="762"/>
      <c r="D6" s="100"/>
      <c r="E6" s="100"/>
      <c r="F6" s="101"/>
      <c r="G6" s="199"/>
      <c r="H6" s="200"/>
      <c r="I6" s="199"/>
    </row>
    <row r="7" spans="1:12" s="42" customFormat="1" ht="20.100000000000001" customHeight="1" thickBot="1">
      <c r="A7" s="193" t="s">
        <v>96</v>
      </c>
      <c r="B7" s="757"/>
      <c r="C7" s="758"/>
      <c r="D7" s="194" t="s">
        <v>14</v>
      </c>
      <c r="E7" s="759"/>
      <c r="F7" s="760"/>
      <c r="G7" s="199"/>
      <c r="H7" s="200"/>
      <c r="I7" s="199"/>
    </row>
    <row r="8" spans="1:12" s="42" customFormat="1" ht="12" customHeight="1" thickBot="1">
      <c r="A8" s="195"/>
      <c r="B8" s="196"/>
      <c r="C8" s="196"/>
      <c r="D8" s="197"/>
      <c r="E8" s="196"/>
      <c r="F8" s="198"/>
      <c r="G8" s="199"/>
      <c r="H8" s="200"/>
      <c r="I8" s="199"/>
    </row>
    <row r="9" spans="1:12" s="42" customFormat="1" ht="20.100000000000001" customHeight="1" thickTop="1" thickBot="1">
      <c r="A9" s="201" t="s">
        <v>2</v>
      </c>
      <c r="B9" s="201" t="s">
        <v>3</v>
      </c>
      <c r="C9" s="202" t="s">
        <v>4</v>
      </c>
      <c r="D9" s="201" t="s">
        <v>5</v>
      </c>
      <c r="E9" s="743" t="s">
        <v>7</v>
      </c>
      <c r="F9" s="744"/>
      <c r="G9" s="203"/>
      <c r="H9" s="204"/>
      <c r="I9" s="280"/>
    </row>
    <row r="10" spans="1:12" s="42" customFormat="1" ht="20.100000000000001" customHeight="1" thickTop="1" thickBot="1">
      <c r="A10" s="729" t="s">
        <v>292</v>
      </c>
      <c r="B10" s="731"/>
      <c r="C10" s="731"/>
      <c r="D10" s="731"/>
      <c r="E10" s="731"/>
      <c r="F10" s="740"/>
      <c r="G10" s="203"/>
      <c r="H10" s="205"/>
      <c r="I10" s="281"/>
    </row>
    <row r="11" spans="1:12" s="42" customFormat="1" ht="20.100000000000001" customHeight="1" thickTop="1">
      <c r="A11" s="118" t="s">
        <v>15</v>
      </c>
      <c r="B11" s="119">
        <f>'Data Sheet'!B13</f>
        <v>0</v>
      </c>
      <c r="C11" s="120">
        <f>'FY22-23 FEE Worksheet'!K135</f>
        <v>12521.250569668326</v>
      </c>
      <c r="D11" s="229" t="s">
        <v>6</v>
      </c>
      <c r="E11" s="739">
        <f>ROUND(+B11*C11,0)</f>
        <v>0</v>
      </c>
      <c r="F11" s="739"/>
      <c r="G11" s="203"/>
      <c r="H11" s="727" t="s">
        <v>200</v>
      </c>
      <c r="I11" s="199"/>
    </row>
    <row r="12" spans="1:12" s="42" customFormat="1" ht="20.100000000000001" customHeight="1">
      <c r="A12" s="118" t="s">
        <v>16</v>
      </c>
      <c r="B12" s="226">
        <f>'Data Sheet'!B17</f>
        <v>0</v>
      </c>
      <c r="C12" s="120">
        <f>'FY22-23 FEE Worksheet'!K136</f>
        <v>10180.728162714153</v>
      </c>
      <c r="D12" s="229" t="s">
        <v>6</v>
      </c>
      <c r="E12" s="738">
        <f>ROUND(+B12*C12,0)</f>
        <v>0</v>
      </c>
      <c r="F12" s="738"/>
      <c r="G12" s="203"/>
      <c r="H12" s="728"/>
      <c r="I12" s="199"/>
      <c r="K12" s="68"/>
    </row>
    <row r="13" spans="1:12" s="42" customFormat="1" ht="20.100000000000001" customHeight="1" thickBot="1">
      <c r="A13" s="206" t="s">
        <v>17</v>
      </c>
      <c r="B13" s="226">
        <f>'Data Sheet'!B21</f>
        <v>0</v>
      </c>
      <c r="C13" s="111">
        <f>'FY22-23 FEE Worksheet'!K137</f>
        <v>8909.2257574478863</v>
      </c>
      <c r="D13" s="218" t="s">
        <v>6</v>
      </c>
      <c r="E13" s="738">
        <f>ROUND(+B13*C13,0)</f>
        <v>0</v>
      </c>
      <c r="F13" s="738"/>
      <c r="G13" s="203"/>
      <c r="H13" s="728"/>
      <c r="I13" s="282"/>
    </row>
    <row r="14" spans="1:12" s="42" customFormat="1" ht="20.100000000000001" customHeight="1" thickTop="1" thickBot="1">
      <c r="A14" s="729" t="s">
        <v>293</v>
      </c>
      <c r="B14" s="730"/>
      <c r="C14" s="731"/>
      <c r="D14" s="731"/>
      <c r="E14" s="730"/>
      <c r="F14" s="732"/>
      <c r="G14" s="203"/>
      <c r="H14" s="207"/>
      <c r="I14" s="199"/>
    </row>
    <row r="15" spans="1:12" s="42" customFormat="1" ht="20.100000000000001" customHeight="1" thickTop="1">
      <c r="A15" s="118" t="s">
        <v>15</v>
      </c>
      <c r="B15" s="119">
        <f>'Data Sheet'!B13</f>
        <v>0</v>
      </c>
      <c r="C15" s="120">
        <f>'FY22-23 FEE Worksheet'!K164</f>
        <v>704.33395223225591</v>
      </c>
      <c r="D15" s="229" t="s">
        <v>6</v>
      </c>
      <c r="E15" s="739">
        <f>ROUND(+B15*C15,0)</f>
        <v>0</v>
      </c>
      <c r="F15" s="739"/>
      <c r="G15" s="203"/>
      <c r="H15" s="727" t="s">
        <v>201</v>
      </c>
      <c r="I15" s="199"/>
    </row>
    <row r="16" spans="1:12" s="42" customFormat="1" ht="20.100000000000001" customHeight="1">
      <c r="A16" s="118" t="s">
        <v>16</v>
      </c>
      <c r="B16" s="226">
        <f>'Data Sheet'!B17</f>
        <v>0</v>
      </c>
      <c r="C16" s="120">
        <f>'FY22-23 FEE Worksheet'!K165</f>
        <v>562.81399274200351</v>
      </c>
      <c r="D16" s="229" t="s">
        <v>6</v>
      </c>
      <c r="E16" s="738">
        <f>ROUND(+B16*C16,0)</f>
        <v>0</v>
      </c>
      <c r="F16" s="738"/>
      <c r="G16" s="203"/>
      <c r="H16" s="728"/>
      <c r="I16" s="199"/>
      <c r="L16" s="68"/>
    </row>
    <row r="17" spans="1:12" s="42" customFormat="1" ht="20.100000000000001" customHeight="1" thickBot="1">
      <c r="A17" s="206" t="s">
        <v>17</v>
      </c>
      <c r="B17" s="226">
        <f>'Data Sheet'!B21</f>
        <v>0</v>
      </c>
      <c r="C17" s="111">
        <f>'FY22-23 FEE Worksheet'!K166</f>
        <v>493.14262806987932</v>
      </c>
      <c r="D17" s="218" t="s">
        <v>6</v>
      </c>
      <c r="E17" s="738">
        <f>ROUND(+B17*C17,0)</f>
        <v>0</v>
      </c>
      <c r="F17" s="738"/>
      <c r="G17" s="203"/>
      <c r="H17" s="728"/>
      <c r="I17" s="199"/>
    </row>
    <row r="18" spans="1:12" s="42" customFormat="1" ht="20.100000000000001" customHeight="1" thickTop="1" thickBot="1">
      <c r="A18" s="729" t="s">
        <v>294</v>
      </c>
      <c r="B18" s="730"/>
      <c r="C18" s="731"/>
      <c r="D18" s="731"/>
      <c r="E18" s="730"/>
      <c r="F18" s="732"/>
      <c r="G18" s="203"/>
      <c r="H18" s="207"/>
      <c r="I18" s="199"/>
    </row>
    <row r="19" spans="1:12" s="42" customFormat="1" ht="20.100000000000001" customHeight="1" thickTop="1">
      <c r="A19" s="118" t="s">
        <v>15</v>
      </c>
      <c r="B19" s="119">
        <f>'Data Sheet'!B13</f>
        <v>0</v>
      </c>
      <c r="C19" s="120">
        <f>'FY22-23 FEE Worksheet'!K196</f>
        <v>232.96362562241538</v>
      </c>
      <c r="D19" s="229" t="s">
        <v>6</v>
      </c>
      <c r="E19" s="739">
        <f>ROUND(+B19*C19,0)</f>
        <v>0</v>
      </c>
      <c r="F19" s="739"/>
      <c r="G19" s="203"/>
      <c r="H19" s="727" t="s">
        <v>202</v>
      </c>
      <c r="I19" s="199"/>
    </row>
    <row r="20" spans="1:12" s="42" customFormat="1" ht="20.100000000000001" customHeight="1">
      <c r="A20" s="118" t="s">
        <v>16</v>
      </c>
      <c r="B20" s="226">
        <f>'Data Sheet'!B17</f>
        <v>0</v>
      </c>
      <c r="C20" s="120">
        <f>'FY22-23 FEE Worksheet'!K197</f>
        <v>187.24179255633385</v>
      </c>
      <c r="D20" s="229" t="s">
        <v>6</v>
      </c>
      <c r="E20" s="738">
        <f>ROUND(+B20*C20,0)</f>
        <v>0</v>
      </c>
      <c r="F20" s="738"/>
      <c r="G20" s="203"/>
      <c r="H20" s="728"/>
      <c r="I20" s="199"/>
      <c r="L20" s="68"/>
    </row>
    <row r="21" spans="1:12" s="42" customFormat="1" ht="20.100000000000001" customHeight="1" thickBot="1">
      <c r="A21" s="206" t="s">
        <v>17</v>
      </c>
      <c r="B21" s="226">
        <f>'Data Sheet'!B21</f>
        <v>0</v>
      </c>
      <c r="C21" s="111">
        <f>'FY22-23 FEE Worksheet'!K198</f>
        <v>163.29226095029117</v>
      </c>
      <c r="D21" s="218" t="s">
        <v>6</v>
      </c>
      <c r="E21" s="738">
        <f>ROUND(+B21*C21,0)</f>
        <v>0</v>
      </c>
      <c r="F21" s="738"/>
      <c r="G21" s="203"/>
      <c r="H21" s="728"/>
      <c r="I21" s="199"/>
    </row>
    <row r="22" spans="1:12" s="42" customFormat="1" ht="20.100000000000001" customHeight="1" thickTop="1" thickBot="1">
      <c r="A22" s="729" t="s">
        <v>295</v>
      </c>
      <c r="B22" s="730"/>
      <c r="C22" s="731"/>
      <c r="D22" s="731"/>
      <c r="E22" s="730"/>
      <c r="F22" s="732"/>
      <c r="G22" s="203"/>
      <c r="H22" s="207"/>
      <c r="I22" s="199"/>
    </row>
    <row r="23" spans="1:12" s="42" customFormat="1" ht="20.100000000000001" customHeight="1" thickTop="1">
      <c r="A23" s="118" t="s">
        <v>15</v>
      </c>
      <c r="B23" s="119">
        <f>'Data Sheet'!B13</f>
        <v>0</v>
      </c>
      <c r="C23" s="120">
        <f>'FY22-23 FEE Worksheet'!K180</f>
        <v>4.6541556735192495</v>
      </c>
      <c r="D23" s="229" t="s">
        <v>6</v>
      </c>
      <c r="E23" s="739">
        <f>ROUND(+B23*C23,0)</f>
        <v>0</v>
      </c>
      <c r="F23" s="739"/>
      <c r="G23" s="203"/>
      <c r="H23" s="727" t="s">
        <v>203</v>
      </c>
      <c r="I23" s="199"/>
    </row>
    <row r="24" spans="1:12" s="42" customFormat="1" ht="20.100000000000001" customHeight="1">
      <c r="A24" s="118" t="s">
        <v>16</v>
      </c>
      <c r="B24" s="226">
        <f>'Data Sheet'!B17</f>
        <v>0</v>
      </c>
      <c r="C24" s="120">
        <f>'FY22-23 FEE Worksheet'!K181</f>
        <v>3.4906167551394374</v>
      </c>
      <c r="D24" s="229" t="s">
        <v>6</v>
      </c>
      <c r="E24" s="742">
        <f>ROUND(+B24*C24,0)</f>
        <v>0</v>
      </c>
      <c r="F24" s="742"/>
      <c r="G24" s="203"/>
      <c r="H24" s="728"/>
      <c r="I24" s="199"/>
      <c r="L24" s="68"/>
    </row>
    <row r="25" spans="1:12" s="42" customFormat="1" ht="20.100000000000001" customHeight="1" thickBot="1">
      <c r="A25" s="206" t="s">
        <v>17</v>
      </c>
      <c r="B25" s="226">
        <f>'Data Sheet'!B21</f>
        <v>0</v>
      </c>
      <c r="C25" s="111">
        <f>'FY22-23 FEE Worksheet'!K182</f>
        <v>2.3270778367596248</v>
      </c>
      <c r="D25" s="218" t="s">
        <v>6</v>
      </c>
      <c r="E25" s="738">
        <f>ROUND(+B25*C25,0)</f>
        <v>0</v>
      </c>
      <c r="F25" s="738"/>
      <c r="G25" s="203"/>
      <c r="H25" s="728"/>
      <c r="I25" s="199"/>
    </row>
    <row r="26" spans="1:12" s="42" customFormat="1" ht="20.100000000000001" customHeight="1" thickTop="1" thickBot="1">
      <c r="A26" s="729" t="s">
        <v>296</v>
      </c>
      <c r="B26" s="731"/>
      <c r="C26" s="731"/>
      <c r="D26" s="731"/>
      <c r="E26" s="730"/>
      <c r="F26" s="732"/>
      <c r="G26" s="203"/>
      <c r="H26" s="207"/>
      <c r="I26" s="199"/>
    </row>
    <row r="27" spans="1:12" s="42" customFormat="1" ht="20.100000000000001" customHeight="1" thickTop="1">
      <c r="A27" s="118" t="s">
        <v>15</v>
      </c>
      <c r="B27" s="119">
        <f>'Data Sheet'!B13</f>
        <v>0</v>
      </c>
      <c r="C27" s="120">
        <f>'FY22-23 FEE Worksheet'!K212</f>
        <v>1626.3909190648999</v>
      </c>
      <c r="D27" s="229" t="s">
        <v>6</v>
      </c>
      <c r="E27" s="739">
        <f>ROUND(+B27*C27,0)</f>
        <v>0</v>
      </c>
      <c r="F27" s="739"/>
      <c r="G27" s="203"/>
      <c r="H27" s="721" t="s">
        <v>204</v>
      </c>
      <c r="I27" s="199"/>
    </row>
    <row r="28" spans="1:12" s="42" customFormat="1" ht="20.100000000000001" customHeight="1">
      <c r="A28" s="118" t="s">
        <v>16</v>
      </c>
      <c r="B28" s="226">
        <f>'Data Sheet'!B17</f>
        <v>0</v>
      </c>
      <c r="C28" s="120">
        <f>'FY22-23 FEE Worksheet'!K213</f>
        <v>1300.8950122373196</v>
      </c>
      <c r="D28" s="229" t="s">
        <v>6</v>
      </c>
      <c r="E28" s="738">
        <f>ROUND(+B28*C28,0)</f>
        <v>0</v>
      </c>
      <c r="F28" s="738"/>
      <c r="G28" s="203"/>
      <c r="H28" s="722"/>
      <c r="I28" s="199"/>
      <c r="L28" s="68"/>
    </row>
    <row r="29" spans="1:12" s="42" customFormat="1" ht="20.100000000000001" customHeight="1">
      <c r="A29" s="118" t="s">
        <v>17</v>
      </c>
      <c r="B29" s="226">
        <f>'Data Sheet'!B21</f>
        <v>0</v>
      </c>
      <c r="C29" s="120">
        <f>'FY22-23 FEE Worksheet'!K214</f>
        <v>1138.6913663600303</v>
      </c>
      <c r="D29" s="229" t="s">
        <v>6</v>
      </c>
      <c r="E29" s="738">
        <f>ROUND(+B29*C29,0)</f>
        <v>0</v>
      </c>
      <c r="F29" s="738"/>
      <c r="G29" s="203"/>
      <c r="H29" s="722"/>
      <c r="I29" s="199"/>
    </row>
    <row r="30" spans="1:12" s="42" customFormat="1" ht="20.100000000000001" customHeight="1">
      <c r="A30" s="118" t="s">
        <v>0</v>
      </c>
      <c r="B30" s="226">
        <f>'Data Sheet'!B24</f>
        <v>0</v>
      </c>
      <c r="C30" s="120">
        <f>'FY22-23 FEE Worksheet'!K218</f>
        <v>1084.2606127099332</v>
      </c>
      <c r="D30" s="218" t="s">
        <v>162</v>
      </c>
      <c r="E30" s="738">
        <f>B30*(C30/1000)</f>
        <v>0</v>
      </c>
      <c r="F30" s="738"/>
      <c r="G30" s="203"/>
      <c r="H30" s="722" t="s">
        <v>205</v>
      </c>
      <c r="I30" s="199"/>
    </row>
    <row r="31" spans="1:12" s="42" customFormat="1" ht="20.100000000000001" customHeight="1">
      <c r="A31" s="118" t="s">
        <v>1</v>
      </c>
      <c r="B31" s="226">
        <f>'Data Sheet'!B27</f>
        <v>0</v>
      </c>
      <c r="C31" s="120">
        <f>'FY22-23 FEE Worksheet'!K219</f>
        <v>1788.5945649421892</v>
      </c>
      <c r="D31" s="218" t="s">
        <v>162</v>
      </c>
      <c r="E31" s="738">
        <f>B31*(C31/1000)</f>
        <v>0</v>
      </c>
      <c r="F31" s="738"/>
      <c r="G31" s="203"/>
      <c r="H31" s="722"/>
      <c r="I31" s="199"/>
    </row>
    <row r="32" spans="1:12" s="42" customFormat="1" ht="20.100000000000001" customHeight="1" thickBot="1">
      <c r="A32" s="123" t="s">
        <v>18</v>
      </c>
      <c r="B32" s="208">
        <f>'Data Sheet'!B28+'Data Sheet'!B29</f>
        <v>0</v>
      </c>
      <c r="C32" s="125">
        <f>'FY22-23 FEE Worksheet'!K220</f>
        <v>758.76470588235293</v>
      </c>
      <c r="D32" s="209" t="s">
        <v>162</v>
      </c>
      <c r="E32" s="741">
        <f>B32*(C32/1000)</f>
        <v>0</v>
      </c>
      <c r="F32" s="741"/>
      <c r="G32" s="203"/>
      <c r="H32" s="723"/>
      <c r="I32" s="199"/>
    </row>
    <row r="33" spans="1:12" s="42" customFormat="1" ht="20.100000000000001" customHeight="1" thickTop="1" thickBot="1">
      <c r="A33" s="733" t="s">
        <v>186</v>
      </c>
      <c r="B33" s="734"/>
      <c r="C33" s="734"/>
      <c r="D33" s="735"/>
      <c r="E33" s="736">
        <f>SUM(E11:F13,E15:F17,E19:F21,E23:F25,E27:F32)</f>
        <v>0</v>
      </c>
      <c r="F33" s="737"/>
      <c r="G33" s="199"/>
      <c r="H33" s="200"/>
      <c r="I33" s="199"/>
      <c r="L33" s="68"/>
    </row>
    <row r="34" spans="1:12" ht="14.25" hidden="1" thickTop="1" thickBot="1">
      <c r="A34" s="514" t="s">
        <v>603</v>
      </c>
      <c r="B34" s="210"/>
      <c r="C34" s="213"/>
      <c r="D34" s="210"/>
      <c r="E34" s="210"/>
      <c r="F34" s="210"/>
      <c r="G34" s="210"/>
      <c r="H34" s="211"/>
      <c r="I34" s="210"/>
    </row>
    <row r="35" spans="1:12" ht="20.100000000000001" hidden="1" customHeight="1" thickBot="1">
      <c r="A35" s="724" t="s">
        <v>278</v>
      </c>
      <c r="B35" s="725"/>
      <c r="C35" s="725"/>
      <c r="D35" s="725"/>
      <c r="E35" s="725"/>
      <c r="F35" s="726"/>
      <c r="G35" s="210"/>
      <c r="H35" s="211"/>
      <c r="I35" s="210"/>
    </row>
    <row r="36" spans="1:12" s="42" customFormat="1" ht="20.100000000000001" hidden="1" customHeight="1">
      <c r="A36" s="212" t="s">
        <v>266</v>
      </c>
      <c r="B36" s="212" t="s">
        <v>267</v>
      </c>
      <c r="C36" s="214" t="s">
        <v>268</v>
      </c>
      <c r="D36" s="212"/>
      <c r="E36" s="210"/>
      <c r="F36" s="199"/>
      <c r="G36" s="199"/>
      <c r="H36" s="200"/>
      <c r="I36" s="199"/>
    </row>
    <row r="37" spans="1:12" s="42" customFormat="1" ht="20.100000000000001" hidden="1" customHeight="1">
      <c r="A37" s="212" t="s">
        <v>269</v>
      </c>
      <c r="B37" s="212" t="s">
        <v>267</v>
      </c>
      <c r="C37" s="214" t="s">
        <v>270</v>
      </c>
      <c r="D37" s="212"/>
      <c r="E37" s="210"/>
      <c r="F37" s="199"/>
      <c r="G37" s="199"/>
      <c r="H37" s="200"/>
      <c r="I37" s="199"/>
    </row>
    <row r="38" spans="1:12" s="42" customFormat="1" ht="20.100000000000001" hidden="1" customHeight="1">
      <c r="A38" s="212" t="s">
        <v>271</v>
      </c>
      <c r="B38" s="212" t="s">
        <v>272</v>
      </c>
      <c r="C38" s="214"/>
      <c r="D38" s="212"/>
      <c r="E38" s="210"/>
      <c r="F38" s="199"/>
      <c r="G38" s="199"/>
      <c r="H38" s="200"/>
      <c r="I38" s="199"/>
    </row>
    <row r="39" spans="1:12" s="42" customFormat="1" ht="20.100000000000001" hidden="1" customHeight="1">
      <c r="A39" s="212" t="s">
        <v>273</v>
      </c>
      <c r="B39" s="212" t="s">
        <v>274</v>
      </c>
      <c r="C39" s="214"/>
      <c r="D39" s="212"/>
      <c r="E39" s="210"/>
      <c r="F39" s="199"/>
      <c r="G39" s="199"/>
      <c r="H39" s="200"/>
      <c r="I39" s="199"/>
    </row>
    <row r="40" spans="1:12" s="42" customFormat="1" ht="15.75" hidden="1">
      <c r="A40" s="212" t="s">
        <v>275</v>
      </c>
      <c r="B40" s="212" t="s">
        <v>276</v>
      </c>
      <c r="C40" s="214" t="s">
        <v>277</v>
      </c>
      <c r="D40" s="212"/>
      <c r="E40" s="199"/>
      <c r="F40" s="199"/>
      <c r="G40" s="199"/>
      <c r="H40" s="200"/>
      <c r="I40" s="199"/>
    </row>
    <row r="41" spans="1:12" hidden="1"/>
    <row r="42" spans="1:12" hidden="1"/>
    <row r="43" spans="1:12" ht="13.5" thickTop="1"/>
  </sheetData>
  <sheetProtection algorithmName="SHA-512" hashValue="UZWS2iPvB9+tDanPGaaIFQYBOU9VODa03PC/m5V5lrf9kgSlySEbYw03sd17mY6nlAnsrD8bgiOvqpqgRRPzPg==" saltValue="V/F81xZkpHRKT2wD5YvPaQ==" spinCount="100000" sheet="1" objects="1" scenarios="1"/>
  <mergeCells count="41">
    <mergeCell ref="E9:F9"/>
    <mergeCell ref="A1:F1"/>
    <mergeCell ref="A2:F2"/>
    <mergeCell ref="B3:F3"/>
    <mergeCell ref="B4:F4"/>
    <mergeCell ref="B7:C7"/>
    <mergeCell ref="E7:F7"/>
    <mergeCell ref="B5:C5"/>
    <mergeCell ref="B6:C6"/>
    <mergeCell ref="A10:F10"/>
    <mergeCell ref="E31:F31"/>
    <mergeCell ref="E32:F32"/>
    <mergeCell ref="E19:F19"/>
    <mergeCell ref="E20:F20"/>
    <mergeCell ref="E21:F21"/>
    <mergeCell ref="E23:F23"/>
    <mergeCell ref="E24:F24"/>
    <mergeCell ref="A22:F22"/>
    <mergeCell ref="E17:F17"/>
    <mergeCell ref="E12:F12"/>
    <mergeCell ref="E13:F13"/>
    <mergeCell ref="E15:F15"/>
    <mergeCell ref="E16:F16"/>
    <mergeCell ref="E11:F11"/>
    <mergeCell ref="A26:F26"/>
    <mergeCell ref="H27:H29"/>
    <mergeCell ref="H30:H32"/>
    <mergeCell ref="A35:F35"/>
    <mergeCell ref="H11:H13"/>
    <mergeCell ref="H15:H17"/>
    <mergeCell ref="H19:H21"/>
    <mergeCell ref="H23:H25"/>
    <mergeCell ref="A18:F18"/>
    <mergeCell ref="A14:F14"/>
    <mergeCell ref="A33:D33"/>
    <mergeCell ref="E33:F33"/>
    <mergeCell ref="E25:F25"/>
    <mergeCell ref="E27:F27"/>
    <mergeCell ref="E28:F28"/>
    <mergeCell ref="E29:F29"/>
    <mergeCell ref="E30:F30"/>
  </mergeCells>
  <conditionalFormatting sqref="E11:E12 E15:E16 E19:E20 E27:E28 E30:E32 E23:E25">
    <cfRule type="cellIs" dxfId="31" priority="18" stopIfTrue="1" operator="equal">
      <formula>0</formula>
    </cfRule>
  </conditionalFormatting>
  <conditionalFormatting sqref="E21">
    <cfRule type="cellIs" dxfId="30" priority="17" stopIfTrue="1" operator="equal">
      <formula>0</formula>
    </cfRule>
  </conditionalFormatting>
  <conditionalFormatting sqref="E17">
    <cfRule type="cellIs" dxfId="29" priority="16" stopIfTrue="1" operator="equal">
      <formula>0</formula>
    </cfRule>
  </conditionalFormatting>
  <conditionalFormatting sqref="E13">
    <cfRule type="cellIs" dxfId="28" priority="15" stopIfTrue="1" operator="equal">
      <formula>0</formula>
    </cfRule>
  </conditionalFormatting>
  <conditionalFormatting sqref="E29">
    <cfRule type="cellIs" dxfId="27" priority="6" stopIfTrue="1" operator="equal">
      <formula>0</formula>
    </cfRule>
  </conditionalFormatting>
  <pageMargins left="0.7" right="0.7" top="0.75" bottom="0.75" header="0.3" footer="0.3"/>
  <pageSetup scale="54" fitToHeight="0" orientation="portrait" r:id="rId1"/>
  <headerFooter>
    <oddHeader>&amp;RDocument Prepared on &amp;D</oddHeader>
    <oddFooter>&amp;L&amp;F&amp;R&amp;P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91E604-8881-4834-9652-8D912059DAFD}">
  <sheetPr>
    <tabColor theme="2" tint="-0.249977111117893"/>
    <pageSetUpPr fitToPage="1"/>
  </sheetPr>
  <dimension ref="A1:Q151"/>
  <sheetViews>
    <sheetView zoomScaleNormal="100" workbookViewId="0">
      <selection activeCell="B3" sqref="B3:F3"/>
    </sheetView>
  </sheetViews>
  <sheetFormatPr defaultColWidth="9.33203125" defaultRowHeight="12.75"/>
  <cols>
    <col min="1" max="1" width="55.83203125" style="81" customWidth="1"/>
    <col min="2" max="2" width="21.83203125" style="87" customWidth="1"/>
    <col min="3" max="3" width="23.5" style="88" bestFit="1" customWidth="1"/>
    <col min="4" max="4" width="23.1640625" style="89" customWidth="1"/>
    <col min="5" max="5" width="23.33203125" style="89" customWidth="1"/>
    <col min="6" max="6" width="24.33203125" style="81" customWidth="1"/>
    <col min="7" max="7" width="3.1640625" style="81" customWidth="1"/>
    <col min="8" max="8" width="31" style="82" hidden="1" customWidth="1"/>
    <col min="9" max="9" width="58.5" style="81" hidden="1" customWidth="1"/>
    <col min="10" max="17" width="9.33203125" style="81" hidden="1" customWidth="1"/>
    <col min="18" max="18" width="9.33203125" style="81" customWidth="1"/>
    <col min="19" max="16384" width="9.33203125" style="81"/>
  </cols>
  <sheetData>
    <row r="1" spans="1:9" ht="43.5" customHeight="1">
      <c r="A1" s="745" t="s">
        <v>167</v>
      </c>
      <c r="B1" s="746"/>
      <c r="C1" s="746"/>
      <c r="D1" s="746"/>
      <c r="E1" s="746"/>
      <c r="F1" s="747"/>
      <c r="G1" s="180"/>
      <c r="H1" s="182"/>
      <c r="I1" s="180"/>
    </row>
    <row r="2" spans="1:9" ht="43.5" customHeight="1" thickBot="1">
      <c r="A2" s="808" t="s">
        <v>170</v>
      </c>
      <c r="B2" s="749"/>
      <c r="C2" s="749"/>
      <c r="D2" s="749"/>
      <c r="E2" s="749"/>
      <c r="F2" s="750"/>
      <c r="G2" s="180"/>
      <c r="H2" s="182"/>
      <c r="I2" s="180"/>
    </row>
    <row r="3" spans="1:9" s="83" customFormat="1" ht="18" customHeight="1">
      <c r="A3" s="91" t="s">
        <v>124</v>
      </c>
      <c r="B3" s="751">
        <f>'Data Sheet'!B5</f>
        <v>0</v>
      </c>
      <c r="C3" s="752"/>
      <c r="D3" s="752"/>
      <c r="E3" s="752"/>
      <c r="F3" s="753"/>
      <c r="G3" s="113"/>
      <c r="H3" s="114"/>
      <c r="I3" s="113"/>
    </row>
    <row r="4" spans="1:9" s="83" customFormat="1" ht="18" customHeight="1">
      <c r="A4" s="92" t="s">
        <v>90</v>
      </c>
      <c r="B4" s="754">
        <f>'Data Sheet'!B6</f>
        <v>0</v>
      </c>
      <c r="C4" s="755"/>
      <c r="D4" s="755"/>
      <c r="E4" s="755"/>
      <c r="F4" s="756"/>
      <c r="G4" s="113"/>
      <c r="H4" s="114"/>
      <c r="I4" s="113"/>
    </row>
    <row r="5" spans="1:9" s="83" customFormat="1" ht="18" customHeight="1">
      <c r="A5" s="92" t="s">
        <v>91</v>
      </c>
      <c r="B5" s="754">
        <f>'Data Sheet'!B7</f>
        <v>0</v>
      </c>
      <c r="C5" s="755"/>
      <c r="D5" s="93"/>
      <c r="E5" s="93"/>
      <c r="F5" s="94"/>
      <c r="G5" s="113"/>
      <c r="H5" s="114"/>
      <c r="I5" s="113"/>
    </row>
    <row r="6" spans="1:9" s="83" customFormat="1" ht="18" customHeight="1">
      <c r="A6" s="92" t="s">
        <v>92</v>
      </c>
      <c r="B6" s="754">
        <f>'Data Sheet'!B9</f>
        <v>0</v>
      </c>
      <c r="C6" s="755"/>
      <c r="D6" s="93"/>
      <c r="E6" s="93"/>
      <c r="F6" s="94"/>
      <c r="G6" s="113"/>
      <c r="H6" s="114"/>
      <c r="I6" s="113"/>
    </row>
    <row r="7" spans="1:9" s="83" customFormat="1" ht="18" customHeight="1">
      <c r="A7" s="92" t="s">
        <v>94</v>
      </c>
      <c r="B7" s="806">
        <f>'Data Sheet'!B11</f>
        <v>0</v>
      </c>
      <c r="C7" s="807"/>
      <c r="D7" s="93"/>
      <c r="E7" s="93"/>
      <c r="F7" s="94"/>
      <c r="G7" s="113"/>
      <c r="H7" s="114"/>
      <c r="I7" s="113"/>
    </row>
    <row r="8" spans="1:9" s="83" customFormat="1" ht="18" customHeight="1">
      <c r="A8" s="92" t="s">
        <v>176</v>
      </c>
      <c r="B8" s="234">
        <f>'Data Sheet'!B91</f>
        <v>0</v>
      </c>
      <c r="C8" s="233"/>
      <c r="D8" s="93"/>
      <c r="E8" s="93"/>
      <c r="F8" s="94"/>
      <c r="G8" s="113"/>
      <c r="H8" s="114"/>
      <c r="I8" s="113"/>
    </row>
    <row r="9" spans="1:9" s="66" customFormat="1" ht="18" customHeight="1">
      <c r="A9" s="92" t="s">
        <v>95</v>
      </c>
      <c r="B9" s="95">
        <f>'Data Sheet'!B93</f>
        <v>0</v>
      </c>
      <c r="C9" s="233"/>
      <c r="D9" s="93"/>
      <c r="E9" s="93"/>
      <c r="F9" s="94"/>
      <c r="G9" s="108"/>
      <c r="H9" s="109"/>
      <c r="I9" s="108"/>
    </row>
    <row r="10" spans="1:9" s="66" customFormat="1" ht="18" customHeight="1">
      <c r="A10" s="92" t="s">
        <v>38</v>
      </c>
      <c r="B10" s="95">
        <f>'Data Sheet'!B94</f>
        <v>0</v>
      </c>
      <c r="C10" s="233"/>
      <c r="D10" s="93"/>
      <c r="E10" s="93"/>
      <c r="F10" s="94"/>
      <c r="G10" s="108"/>
      <c r="H10" s="109"/>
      <c r="I10" s="108"/>
    </row>
    <row r="11" spans="1:9" s="66" customFormat="1" ht="18" customHeight="1">
      <c r="A11" s="96" t="s">
        <v>39</v>
      </c>
      <c r="B11" s="97">
        <f>(SUM(F82:F85)+SUM(F87:F93)+SUM(F95:F101)+SUM(F103:F109)+F116)/C87</f>
        <v>0</v>
      </c>
      <c r="C11" s="233"/>
      <c r="D11" s="93"/>
      <c r="E11" s="93"/>
      <c r="F11" s="94"/>
      <c r="G11" s="108"/>
      <c r="H11" s="109"/>
      <c r="I11" s="108"/>
    </row>
    <row r="12" spans="1:9" s="66" customFormat="1" ht="18" customHeight="1" thickBot="1">
      <c r="A12" s="96" t="s">
        <v>40</v>
      </c>
      <c r="B12" s="98">
        <f>F118</f>
        <v>0</v>
      </c>
      <c r="C12" s="99"/>
      <c r="D12" s="100"/>
      <c r="E12" s="100"/>
      <c r="F12" s="101"/>
      <c r="G12" s="108"/>
      <c r="H12" s="109"/>
      <c r="I12" s="108"/>
    </row>
    <row r="13" spans="1:9" s="66" customFormat="1" ht="18" customHeight="1" thickBot="1">
      <c r="A13" s="102" t="s">
        <v>97</v>
      </c>
      <c r="B13" s="812"/>
      <c r="C13" s="813"/>
      <c r="D13" s="103" t="s">
        <v>14</v>
      </c>
      <c r="E13" s="814"/>
      <c r="F13" s="815"/>
      <c r="G13" s="108"/>
      <c r="H13" s="109"/>
      <c r="I13" s="108"/>
    </row>
    <row r="14" spans="1:9" s="66" customFormat="1" ht="8.25" customHeight="1" thickBot="1">
      <c r="A14" s="104"/>
      <c r="B14" s="105"/>
      <c r="C14" s="105"/>
      <c r="D14" s="106"/>
      <c r="E14" s="107"/>
      <c r="F14" s="107"/>
      <c r="G14" s="108"/>
      <c r="H14" s="109"/>
      <c r="I14" s="108"/>
    </row>
    <row r="15" spans="1:9" s="83" customFormat="1" ht="15.95" customHeight="1" thickTop="1" thickBot="1">
      <c r="A15" s="110" t="s">
        <v>286</v>
      </c>
      <c r="B15" s="218"/>
      <c r="C15" s="111"/>
      <c r="D15" s="218"/>
      <c r="E15" s="218"/>
      <c r="F15" s="112"/>
      <c r="G15" s="113"/>
      <c r="H15" s="114"/>
      <c r="I15" s="113"/>
    </row>
    <row r="16" spans="1:9" s="83" customFormat="1" ht="15.95" customHeight="1" thickTop="1" thickBot="1">
      <c r="A16" s="115" t="s">
        <v>2</v>
      </c>
      <c r="B16" s="115" t="s">
        <v>3</v>
      </c>
      <c r="C16" s="116" t="s">
        <v>4</v>
      </c>
      <c r="D16" s="115" t="s">
        <v>5</v>
      </c>
      <c r="E16" s="743" t="s">
        <v>198</v>
      </c>
      <c r="F16" s="744"/>
      <c r="G16" s="113"/>
      <c r="H16" s="117"/>
      <c r="I16" s="113"/>
    </row>
    <row r="17" spans="1:10" s="85" customFormat="1" ht="15.95" customHeight="1" thickTop="1">
      <c r="A17" s="118" t="s">
        <v>41</v>
      </c>
      <c r="B17" s="119">
        <f>'Data Sheet'!B13</f>
        <v>0</v>
      </c>
      <c r="C17" s="120">
        <f>'FY22-23 FEE Worksheet'!K124</f>
        <v>3758.3712021136062</v>
      </c>
      <c r="D17" s="229" t="s">
        <v>6</v>
      </c>
      <c r="E17" s="739">
        <f>ROUND(+B17*C17,0)</f>
        <v>0</v>
      </c>
      <c r="F17" s="739"/>
      <c r="G17" s="121"/>
      <c r="H17" s="721" t="s">
        <v>207</v>
      </c>
      <c r="I17" s="121"/>
    </row>
    <row r="18" spans="1:10" s="83" customFormat="1" ht="15.95" customHeight="1">
      <c r="A18" s="118" t="s">
        <v>45</v>
      </c>
      <c r="B18" s="227">
        <f>'Data Sheet'!B17</f>
        <v>0</v>
      </c>
      <c r="C18" s="120">
        <f>'FY22-23 FEE Worksheet'!K125</f>
        <v>2218.0018989431969</v>
      </c>
      <c r="D18" s="229" t="s">
        <v>6</v>
      </c>
      <c r="E18" s="738">
        <f>ROUND(+B18*C18,0)</f>
        <v>0</v>
      </c>
      <c r="F18" s="738"/>
      <c r="G18" s="113"/>
      <c r="H18" s="722"/>
      <c r="I18" s="113"/>
    </row>
    <row r="19" spans="1:10" s="83" customFormat="1" ht="15.95" customHeight="1">
      <c r="A19" s="118" t="s">
        <v>0</v>
      </c>
      <c r="B19" s="226">
        <f>'Data Sheet'!B24</f>
        <v>0</v>
      </c>
      <c r="C19" s="120">
        <f>'FY22-23 FEE Worksheet'!K127</f>
        <v>1316.2959048877146</v>
      </c>
      <c r="D19" s="218" t="s">
        <v>162</v>
      </c>
      <c r="E19" s="738">
        <f>ROUND(+B19*C19,0)/1000</f>
        <v>0</v>
      </c>
      <c r="F19" s="738"/>
      <c r="G19" s="113"/>
      <c r="H19" s="722" t="s">
        <v>208</v>
      </c>
      <c r="I19" s="113"/>
    </row>
    <row r="20" spans="1:10" s="83" customFormat="1" ht="15.95" customHeight="1" thickBot="1">
      <c r="A20" s="118" t="s">
        <v>43</v>
      </c>
      <c r="B20" s="226">
        <f>'Data Sheet'!B28+'Data Sheet'!B29</f>
        <v>0</v>
      </c>
      <c r="C20" s="111">
        <f>'FY22-23 FEE Worksheet'!K128</f>
        <v>1652.9472424042272</v>
      </c>
      <c r="D20" s="218" t="s">
        <v>162</v>
      </c>
      <c r="E20" s="738">
        <f>ROUND(+B20*C20,0)/1000</f>
        <v>0</v>
      </c>
      <c r="F20" s="742"/>
      <c r="G20" s="122"/>
      <c r="H20" s="723"/>
      <c r="I20" s="113"/>
    </row>
    <row r="21" spans="1:10" s="83" customFormat="1" ht="15.95" customHeight="1" thickTop="1" thickBot="1">
      <c r="A21" s="123"/>
      <c r="B21" s="124"/>
      <c r="C21" s="125"/>
      <c r="D21" s="802" t="s">
        <v>184</v>
      </c>
      <c r="E21" s="802"/>
      <c r="F21" s="216">
        <f>SUM(E17:F20)</f>
        <v>0</v>
      </c>
      <c r="G21" s="122"/>
      <c r="H21" s="114"/>
      <c r="I21" s="113"/>
    </row>
    <row r="22" spans="1:10" s="83" customFormat="1" ht="15.95" customHeight="1" thickTop="1" thickBot="1">
      <c r="A22" s="127" t="s">
        <v>287</v>
      </c>
      <c r="B22" s="218"/>
      <c r="C22" s="111"/>
      <c r="D22" s="218"/>
      <c r="E22" s="124"/>
      <c r="F22" s="128" t="s">
        <v>28</v>
      </c>
      <c r="G22" s="129"/>
      <c r="H22" s="130"/>
      <c r="I22" s="129"/>
      <c r="J22" s="86"/>
    </row>
    <row r="23" spans="1:10" s="83" customFormat="1" ht="15.95" customHeight="1" thickTop="1" thickBot="1">
      <c r="A23" s="115" t="s">
        <v>2</v>
      </c>
      <c r="B23" s="115" t="s">
        <v>3</v>
      </c>
      <c r="C23" s="116" t="s">
        <v>4</v>
      </c>
      <c r="D23" s="115" t="s">
        <v>5</v>
      </c>
      <c r="E23" s="822" t="s">
        <v>198</v>
      </c>
      <c r="F23" s="823"/>
      <c r="G23" s="113"/>
      <c r="H23" s="117"/>
      <c r="I23" s="113"/>
    </row>
    <row r="24" spans="1:10" s="83" customFormat="1" ht="15.95" customHeight="1" thickTop="1">
      <c r="A24" s="131" t="s">
        <v>44</v>
      </c>
      <c r="B24" s="226">
        <f>'Data Sheet'!B13</f>
        <v>0</v>
      </c>
      <c r="C24" s="111">
        <f>'FY22-23 FEE Worksheet'!K103</f>
        <v>12491.857962697273</v>
      </c>
      <c r="D24" s="218" t="s">
        <v>6</v>
      </c>
      <c r="E24" s="738">
        <f>B24*C24</f>
        <v>0</v>
      </c>
      <c r="F24" s="738"/>
      <c r="G24" s="129"/>
      <c r="H24" s="799" t="s">
        <v>209</v>
      </c>
      <c r="I24" s="129"/>
      <c r="J24" s="86"/>
    </row>
    <row r="25" spans="1:10" s="83" customFormat="1" ht="15.95" customHeight="1">
      <c r="A25" s="132" t="s">
        <v>45</v>
      </c>
      <c r="B25" s="226">
        <f>'Data Sheet'!B17</f>
        <v>0</v>
      </c>
      <c r="C25" s="111">
        <f>'FY22-23 FEE Worksheet'!K104</f>
        <v>7066.2004388555997</v>
      </c>
      <c r="D25" s="218" t="s">
        <v>6</v>
      </c>
      <c r="E25" s="738">
        <f t="shared" ref="E25:E26" si="0">B25*C25</f>
        <v>0</v>
      </c>
      <c r="F25" s="738"/>
      <c r="G25" s="129"/>
      <c r="H25" s="722"/>
      <c r="I25" s="129"/>
      <c r="J25" s="86"/>
    </row>
    <row r="26" spans="1:10" s="83" customFormat="1" ht="15.95" customHeight="1" thickBot="1">
      <c r="A26" s="132" t="s">
        <v>66</v>
      </c>
      <c r="B26" s="226">
        <f>'Data Sheet'!B19</f>
        <v>0</v>
      </c>
      <c r="C26" s="111">
        <f>'FY22-23 FEE Worksheet'!K105</f>
        <v>0</v>
      </c>
      <c r="D26" s="218" t="s">
        <v>6</v>
      </c>
      <c r="E26" s="738">
        <f t="shared" si="0"/>
        <v>0</v>
      </c>
      <c r="F26" s="738"/>
      <c r="G26" s="129"/>
      <c r="H26" s="723"/>
      <c r="I26" s="129"/>
      <c r="J26" s="86"/>
    </row>
    <row r="27" spans="1:10" s="83" customFormat="1" ht="15.95" customHeight="1" thickTop="1" thickBot="1">
      <c r="A27" s="816" t="s">
        <v>341</v>
      </c>
      <c r="B27" s="817"/>
      <c r="C27" s="817"/>
      <c r="D27" s="818"/>
      <c r="E27" s="133">
        <f>SUM(E24:E26)</f>
        <v>0</v>
      </c>
      <c r="F27" s="134"/>
      <c r="G27" s="135"/>
      <c r="H27" s="136"/>
      <c r="I27" s="129"/>
      <c r="J27" s="86"/>
    </row>
    <row r="28" spans="1:10" s="83" customFormat="1" ht="15.95" customHeight="1" thickTop="1">
      <c r="A28" s="132" t="s">
        <v>0</v>
      </c>
      <c r="B28" s="226">
        <f>'Data Sheet'!B24</f>
        <v>0</v>
      </c>
      <c r="C28" s="111">
        <f>'FY22-23 FEE Worksheet'!K106</f>
        <v>10599.844965819901</v>
      </c>
      <c r="D28" s="218" t="s">
        <v>162</v>
      </c>
      <c r="E28" s="738">
        <f t="shared" ref="E28:E33" si="1">B28*C28/1000</f>
        <v>0</v>
      </c>
      <c r="F28" s="738"/>
      <c r="G28" s="129"/>
      <c r="H28" s="799" t="s">
        <v>210</v>
      </c>
      <c r="I28" s="129"/>
      <c r="J28" s="86"/>
    </row>
    <row r="29" spans="1:10" s="83" customFormat="1" ht="15.95" customHeight="1">
      <c r="A29" s="132" t="s">
        <v>109</v>
      </c>
      <c r="B29" s="226">
        <f>'Data Sheet'!B25</f>
        <v>0</v>
      </c>
      <c r="C29" s="111">
        <f>'FY22-23 FEE Worksheet'!K107</f>
        <v>12745.505274706726</v>
      </c>
      <c r="D29" s="218" t="s">
        <v>162</v>
      </c>
      <c r="E29" s="738">
        <f t="shared" si="1"/>
        <v>0</v>
      </c>
      <c r="F29" s="738"/>
      <c r="G29" s="129"/>
      <c r="H29" s="722"/>
      <c r="I29" s="129"/>
      <c r="J29" s="86"/>
    </row>
    <row r="30" spans="1:10" s="83" customFormat="1" ht="15.95" customHeight="1">
      <c r="A30" s="132" t="s">
        <v>1</v>
      </c>
      <c r="B30" s="226">
        <f>'Data Sheet'!B27</f>
        <v>0</v>
      </c>
      <c r="C30" s="111">
        <f>'FY22-23 FEE Worksheet'!K108</f>
        <v>8076.4352266014002</v>
      </c>
      <c r="D30" s="218" t="s">
        <v>162</v>
      </c>
      <c r="E30" s="738">
        <f t="shared" si="1"/>
        <v>0</v>
      </c>
      <c r="F30" s="738"/>
      <c r="G30" s="129"/>
      <c r="H30" s="722"/>
      <c r="I30" s="129"/>
      <c r="J30" s="86"/>
    </row>
    <row r="31" spans="1:10" s="83" customFormat="1" ht="15.95" customHeight="1">
      <c r="A31" s="132" t="s">
        <v>46</v>
      </c>
      <c r="B31" s="226">
        <f>'Data Sheet'!B28</f>
        <v>0</v>
      </c>
      <c r="C31" s="111">
        <f>'FY22-23 FEE Worksheet'!K109</f>
        <v>5299.3781753734493</v>
      </c>
      <c r="D31" s="218" t="s">
        <v>162</v>
      </c>
      <c r="E31" s="738">
        <f t="shared" si="1"/>
        <v>0</v>
      </c>
      <c r="F31" s="738"/>
      <c r="G31" s="129"/>
      <c r="H31" s="722"/>
      <c r="I31" s="129"/>
      <c r="J31" s="86"/>
    </row>
    <row r="32" spans="1:10" s="83" customFormat="1" ht="15.95" customHeight="1">
      <c r="A32" s="132" t="s">
        <v>47</v>
      </c>
      <c r="B32" s="226">
        <f>'Data Sheet'!B29</f>
        <v>0</v>
      </c>
      <c r="C32" s="111">
        <f>'FY22-23 FEE Worksheet'!K110</f>
        <v>1514.2635665457001</v>
      </c>
      <c r="D32" s="218" t="s">
        <v>162</v>
      </c>
      <c r="E32" s="738">
        <f t="shared" si="1"/>
        <v>0</v>
      </c>
      <c r="F32" s="738"/>
      <c r="G32" s="129"/>
      <c r="H32" s="722"/>
      <c r="I32" s="129"/>
      <c r="J32" s="86"/>
    </row>
    <row r="33" spans="1:16" s="83" customFormat="1" ht="15.95" customHeight="1" thickBot="1">
      <c r="A33" s="132" t="s">
        <v>48</v>
      </c>
      <c r="B33" s="226">
        <f>'Data Sheet'!B30</f>
        <v>0</v>
      </c>
      <c r="C33" s="111">
        <f>'FY22-23 FEE Worksheet'!K111</f>
        <v>8202.7145750696254</v>
      </c>
      <c r="D33" s="218" t="s">
        <v>162</v>
      </c>
      <c r="E33" s="738">
        <f t="shared" si="1"/>
        <v>0</v>
      </c>
      <c r="F33" s="738"/>
      <c r="G33" s="129"/>
      <c r="H33" s="723"/>
      <c r="I33" s="129"/>
      <c r="J33" s="86"/>
    </row>
    <row r="34" spans="1:16" s="83" customFormat="1" ht="15.95" customHeight="1" thickTop="1" thickBot="1">
      <c r="A34" s="816" t="s">
        <v>342</v>
      </c>
      <c r="B34" s="817"/>
      <c r="C34" s="817"/>
      <c r="D34" s="818"/>
      <c r="E34" s="133">
        <f>SUM(E28:E33)</f>
        <v>0</v>
      </c>
      <c r="F34" s="134"/>
      <c r="G34" s="135"/>
      <c r="H34" s="136"/>
      <c r="I34" s="129"/>
      <c r="J34" s="86"/>
    </row>
    <row r="35" spans="1:16" s="83" customFormat="1" ht="15.95" customHeight="1" thickTop="1">
      <c r="A35" s="118" t="s">
        <v>123</v>
      </c>
      <c r="B35" s="218">
        <v>-0.15</v>
      </c>
      <c r="C35" s="111"/>
      <c r="D35" s="137"/>
      <c r="E35" s="138">
        <f>IF(B8="y",(MIN(E27,E34)*B35),0)</f>
        <v>0</v>
      </c>
      <c r="F35" s="134"/>
      <c r="G35" s="135"/>
      <c r="H35" s="721" t="s">
        <v>209</v>
      </c>
      <c r="I35" s="129"/>
      <c r="J35" s="86"/>
    </row>
    <row r="36" spans="1:16" s="83" customFormat="1" ht="15.95" customHeight="1">
      <c r="A36" s="118" t="s">
        <v>49</v>
      </c>
      <c r="B36" s="218">
        <v>-0.09</v>
      </c>
      <c r="C36" s="111"/>
      <c r="D36" s="137"/>
      <c r="E36" s="138">
        <f>IF('Data Sheet'!B92="Y",E27*B36,0)</f>
        <v>0</v>
      </c>
      <c r="F36" s="134"/>
      <c r="G36" s="135"/>
      <c r="H36" s="722"/>
      <c r="I36" s="129"/>
      <c r="J36" s="86"/>
    </row>
    <row r="37" spans="1:16" s="83" customFormat="1" ht="15.95" customHeight="1" thickBot="1">
      <c r="A37" s="118" t="s">
        <v>50</v>
      </c>
      <c r="B37" s="218">
        <v>-0.03</v>
      </c>
      <c r="C37" s="111"/>
      <c r="D37" s="137"/>
      <c r="E37" s="138">
        <f>IF('Data Sheet'!B92="Y",E34*B37,0)</f>
        <v>0</v>
      </c>
      <c r="F37" s="134"/>
      <c r="G37" s="135"/>
      <c r="H37" s="232" t="s">
        <v>210</v>
      </c>
      <c r="I37" s="129"/>
      <c r="J37" s="86"/>
    </row>
    <row r="38" spans="1:16" s="83" customFormat="1" ht="15.95" customHeight="1" thickTop="1" thickBot="1">
      <c r="A38" s="819" t="s">
        <v>183</v>
      </c>
      <c r="B38" s="820"/>
      <c r="C38" s="820"/>
      <c r="D38" s="820"/>
      <c r="E38" s="821"/>
      <c r="F38" s="126">
        <f>E27+E34+E35+E36+E37</f>
        <v>0</v>
      </c>
      <c r="G38" s="129"/>
      <c r="H38" s="130"/>
      <c r="I38" s="129"/>
      <c r="J38" s="86"/>
    </row>
    <row r="39" spans="1:16" s="83" customFormat="1" ht="15.95" customHeight="1" thickTop="1" thickBot="1">
      <c r="A39" s="809" t="s">
        <v>288</v>
      </c>
      <c r="B39" s="810"/>
      <c r="C39" s="810"/>
      <c r="D39" s="810"/>
      <c r="E39" s="810"/>
      <c r="F39" s="811"/>
      <c r="G39" s="113"/>
      <c r="H39" s="114"/>
      <c r="I39" s="113"/>
    </row>
    <row r="40" spans="1:16" s="83" customFormat="1" ht="15.95" customHeight="1" thickTop="1" thickBot="1">
      <c r="A40" s="115" t="s">
        <v>2</v>
      </c>
      <c r="B40" s="743" t="s">
        <v>3</v>
      </c>
      <c r="C40" s="744"/>
      <c r="D40" s="115" t="s">
        <v>4</v>
      </c>
      <c r="E40" s="115" t="s">
        <v>5</v>
      </c>
      <c r="F40" s="115" t="s">
        <v>198</v>
      </c>
      <c r="G40" s="113"/>
      <c r="H40" s="114"/>
      <c r="I40" s="113"/>
    </row>
    <row r="41" spans="1:16" s="83" customFormat="1" ht="15.95" customHeight="1" thickTop="1" thickBot="1">
      <c r="A41" s="139" t="s">
        <v>51</v>
      </c>
      <c r="B41" s="228" t="s">
        <v>52</v>
      </c>
      <c r="C41" s="228" t="s">
        <v>53</v>
      </c>
      <c r="D41" s="140"/>
      <c r="E41" s="140"/>
      <c r="F41" s="141"/>
      <c r="G41" s="113"/>
      <c r="H41" s="117"/>
      <c r="I41" s="275"/>
    </row>
    <row r="42" spans="1:16" s="83" customFormat="1" ht="15.95" customHeight="1" thickTop="1">
      <c r="A42" s="118" t="s">
        <v>336</v>
      </c>
      <c r="B42" s="245">
        <f>B43+B44+B45+B46</f>
        <v>0</v>
      </c>
      <c r="C42" s="226">
        <f>C45+C46</f>
        <v>0</v>
      </c>
      <c r="D42" s="120">
        <f>'VI. Public Works'!F73</f>
        <v>168</v>
      </c>
      <c r="E42" s="218" t="s">
        <v>216</v>
      </c>
      <c r="F42" s="142">
        <f>ROUND((B42+C42)*D42,0)</f>
        <v>0</v>
      </c>
      <c r="G42" s="113"/>
      <c r="H42" s="721" t="s">
        <v>213</v>
      </c>
      <c r="I42" s="219" t="s">
        <v>211</v>
      </c>
      <c r="K42" t="s">
        <v>830</v>
      </c>
      <c r="L42"/>
      <c r="M42"/>
      <c r="N42"/>
      <c r="O42"/>
      <c r="P42" t="s">
        <v>831</v>
      </c>
    </row>
    <row r="43" spans="1:16" s="83" customFormat="1" ht="15.95" customHeight="1">
      <c r="A43" s="118" t="s">
        <v>54</v>
      </c>
      <c r="B43" s="226">
        <f>'Data Sheet'!B32</f>
        <v>0</v>
      </c>
      <c r="C43" s="242" t="s">
        <v>375</v>
      </c>
      <c r="D43" s="120">
        <v>329</v>
      </c>
      <c r="E43" s="220" t="s">
        <v>216</v>
      </c>
      <c r="F43" s="142">
        <f>ROUND((B43)*D43,0)</f>
        <v>0</v>
      </c>
      <c r="G43" s="113"/>
      <c r="H43" s="722"/>
      <c r="I43" s="778" t="s">
        <v>212</v>
      </c>
      <c r="K43" s="565" t="s">
        <v>832</v>
      </c>
      <c r="L43" s="565" t="s">
        <v>833</v>
      </c>
      <c r="M43" s="565" t="s">
        <v>834</v>
      </c>
      <c r="N43" s="565" t="s">
        <v>226</v>
      </c>
      <c r="O43" s="565" t="s">
        <v>835</v>
      </c>
      <c r="P43" s="565" t="s">
        <v>836</v>
      </c>
    </row>
    <row r="44" spans="1:16" s="83" customFormat="1" ht="15.95" customHeight="1">
      <c r="A44" s="118" t="s">
        <v>104</v>
      </c>
      <c r="B44" s="226">
        <f>'Data Sheet'!B33</f>
        <v>0</v>
      </c>
      <c r="C44" s="226" t="s">
        <v>375</v>
      </c>
      <c r="D44" s="120">
        <v>378</v>
      </c>
      <c r="E44" s="220" t="s">
        <v>216</v>
      </c>
      <c r="F44" s="142">
        <f>ROUND((B44)*D44,0)</f>
        <v>0</v>
      </c>
      <c r="G44" s="113"/>
      <c r="H44" s="722"/>
      <c r="I44" s="778"/>
      <c r="K44" s="566" t="s">
        <v>837</v>
      </c>
      <c r="L44" s="567">
        <v>198.21</v>
      </c>
      <c r="M44" s="567">
        <v>103.35</v>
      </c>
      <c r="N44" s="567">
        <f>SUM(L44:M44)</f>
        <v>301.56</v>
      </c>
      <c r="O44" s="567">
        <f>N44*0.09</f>
        <v>27.1404</v>
      </c>
      <c r="P44" s="568">
        <f>SUM(N44:O44)</f>
        <v>328.7004</v>
      </c>
    </row>
    <row r="45" spans="1:16" s="83" customFormat="1" ht="15.95" customHeight="1">
      <c r="A45" s="118" t="s">
        <v>55</v>
      </c>
      <c r="B45" s="226">
        <f>'Data Sheet'!B34</f>
        <v>0</v>
      </c>
      <c r="C45" s="226">
        <f>'Data Sheet'!B45</f>
        <v>0</v>
      </c>
      <c r="D45" s="120">
        <v>462</v>
      </c>
      <c r="E45" s="220" t="s">
        <v>216</v>
      </c>
      <c r="F45" s="142">
        <f t="shared" ref="F45:F46" si="2">ROUND((B45+C45)*D45,0)</f>
        <v>0</v>
      </c>
      <c r="G45" s="113"/>
      <c r="H45" s="722"/>
      <c r="I45" s="778"/>
      <c r="K45" s="569" t="s">
        <v>838</v>
      </c>
      <c r="L45" s="567">
        <v>243.75</v>
      </c>
      <c r="M45" s="567">
        <v>103.35</v>
      </c>
      <c r="N45" s="567">
        <f t="shared" ref="N45:N47" si="3">SUM(L45:M45)</f>
        <v>347.1</v>
      </c>
      <c r="O45" s="567">
        <f t="shared" ref="O45:O47" si="4">N45*0.09</f>
        <v>31.239000000000001</v>
      </c>
      <c r="P45" s="568">
        <f t="shared" ref="P45:P47" si="5">SUM(N45:O45)</f>
        <v>378.339</v>
      </c>
    </row>
    <row r="46" spans="1:16" s="83" customFormat="1" ht="15.95" customHeight="1" thickBot="1">
      <c r="A46" s="118" t="s">
        <v>113</v>
      </c>
      <c r="B46" s="226">
        <f>'Data Sheet'!B35</f>
        <v>0</v>
      </c>
      <c r="C46" s="226">
        <f>'Data Sheet'!B46</f>
        <v>0</v>
      </c>
      <c r="D46" s="120">
        <v>834</v>
      </c>
      <c r="E46" s="220" t="s">
        <v>216</v>
      </c>
      <c r="F46" s="142">
        <f t="shared" si="2"/>
        <v>0</v>
      </c>
      <c r="G46" s="113"/>
      <c r="H46" s="723"/>
      <c r="I46" s="779"/>
      <c r="K46" s="570">
        <v>1</v>
      </c>
      <c r="L46" s="567">
        <v>320.95999999999998</v>
      </c>
      <c r="M46" s="567">
        <v>103.35</v>
      </c>
      <c r="N46" s="567">
        <f t="shared" si="3"/>
        <v>424.30999999999995</v>
      </c>
      <c r="O46" s="567">
        <f t="shared" si="4"/>
        <v>38.187899999999992</v>
      </c>
      <c r="P46" s="568">
        <f t="shared" si="5"/>
        <v>462.49789999999996</v>
      </c>
    </row>
    <row r="47" spans="1:16" s="83" customFormat="1" ht="15.95" customHeight="1" thickTop="1">
      <c r="A47" s="782" t="s">
        <v>165</v>
      </c>
      <c r="B47" s="783"/>
      <c r="C47" s="783"/>
      <c r="D47" s="783"/>
      <c r="E47" s="144" t="s">
        <v>340</v>
      </c>
      <c r="F47" s="142">
        <f>SUM(F42:F46)</f>
        <v>0</v>
      </c>
      <c r="G47" s="113"/>
      <c r="H47" s="114"/>
      <c r="I47" s="113"/>
      <c r="K47" s="571">
        <v>1.5</v>
      </c>
      <c r="L47" s="567">
        <v>661.61</v>
      </c>
      <c r="M47" s="567">
        <v>103.35</v>
      </c>
      <c r="N47" s="567">
        <f t="shared" si="3"/>
        <v>764.96</v>
      </c>
      <c r="O47" s="567">
        <f t="shared" si="4"/>
        <v>68.846400000000003</v>
      </c>
      <c r="P47" s="568">
        <f t="shared" si="5"/>
        <v>833.80640000000005</v>
      </c>
    </row>
    <row r="48" spans="1:16" s="83" customFormat="1" ht="15.95" customHeight="1" thickBot="1">
      <c r="A48" s="145" t="s">
        <v>56</v>
      </c>
      <c r="B48" s="786" t="s">
        <v>52</v>
      </c>
      <c r="C48" s="786"/>
      <c r="D48" s="218"/>
      <c r="E48" s="218"/>
      <c r="F48" s="112"/>
      <c r="G48" s="113"/>
      <c r="H48" s="117"/>
      <c r="I48" s="113"/>
    </row>
    <row r="49" spans="1:9" s="83" customFormat="1" ht="15.95" customHeight="1" thickTop="1">
      <c r="A49" s="231" t="s">
        <v>128</v>
      </c>
      <c r="B49" s="784">
        <f>'Data Sheet'!B15</f>
        <v>0</v>
      </c>
      <c r="C49" s="784"/>
      <c r="D49" s="111">
        <f>'FY22-23 FEE Worksheet'!K27</f>
        <v>3130.5326948480842</v>
      </c>
      <c r="E49" s="218" t="s">
        <v>285</v>
      </c>
      <c r="F49" s="142">
        <f>ROUND(B49*D49,0)</f>
        <v>0</v>
      </c>
      <c r="G49" s="113"/>
      <c r="H49" s="799" t="s">
        <v>214</v>
      </c>
      <c r="I49" s="113"/>
    </row>
    <row r="50" spans="1:9" s="83" customFormat="1" ht="15.95" customHeight="1">
      <c r="A50" s="231" t="s">
        <v>129</v>
      </c>
      <c r="B50" s="784">
        <f>'Data Sheet'!B14</f>
        <v>0</v>
      </c>
      <c r="C50" s="784"/>
      <c r="D50" s="111">
        <f>'FY22-23 FEE Worksheet'!K28</f>
        <v>4694.7165620871856</v>
      </c>
      <c r="E50" s="218" t="s">
        <v>285</v>
      </c>
      <c r="F50" s="142">
        <f t="shared" ref="F50:F52" si="6">ROUND(B50*D50,0)</f>
        <v>0</v>
      </c>
      <c r="G50" s="113"/>
      <c r="H50" s="722"/>
      <c r="I50" s="113"/>
    </row>
    <row r="51" spans="1:9" s="83" customFormat="1" ht="15.95" customHeight="1">
      <c r="A51" s="231" t="s">
        <v>114</v>
      </c>
      <c r="B51" s="784">
        <f>'Data Sheet'!B19</f>
        <v>0</v>
      </c>
      <c r="C51" s="784"/>
      <c r="D51" s="111">
        <f>'FY22-23 FEE Worksheet'!K29</f>
        <v>0</v>
      </c>
      <c r="E51" s="218" t="s">
        <v>285</v>
      </c>
      <c r="F51" s="142">
        <f t="shared" si="6"/>
        <v>0</v>
      </c>
      <c r="G51" s="113"/>
      <c r="H51" s="722"/>
      <c r="I51" s="113"/>
    </row>
    <row r="52" spans="1:9" s="83" customFormat="1" ht="15.95" customHeight="1" thickBot="1">
      <c r="A52" s="231" t="s">
        <v>112</v>
      </c>
      <c r="B52" s="784">
        <f>'Data Sheet'!B17</f>
        <v>0</v>
      </c>
      <c r="C52" s="784"/>
      <c r="D52" s="111">
        <f>'FY22-23 FEE Worksheet'!K31</f>
        <v>2394.4461690885073</v>
      </c>
      <c r="E52" s="218" t="s">
        <v>285</v>
      </c>
      <c r="F52" s="142">
        <f t="shared" si="6"/>
        <v>0</v>
      </c>
      <c r="G52" s="113"/>
      <c r="H52" s="723"/>
      <c r="I52" s="113"/>
    </row>
    <row r="53" spans="1:9" s="83" customFormat="1" ht="15.95" customHeight="1" thickTop="1" thickBot="1">
      <c r="A53" s="146"/>
      <c r="B53" s="218"/>
      <c r="C53" s="111"/>
      <c r="D53" s="218"/>
      <c r="E53" s="218"/>
      <c r="F53" s="147"/>
      <c r="G53" s="113"/>
      <c r="H53" s="148"/>
      <c r="I53" s="275"/>
    </row>
    <row r="54" spans="1:9" s="83" customFormat="1" ht="15.95" customHeight="1" thickTop="1">
      <c r="A54" s="149" t="s">
        <v>130</v>
      </c>
      <c r="B54" s="784">
        <f>'Data Sheet'!B37</f>
        <v>0</v>
      </c>
      <c r="C54" s="784"/>
      <c r="D54" s="111">
        <f>'FY22-23 FEE Worksheet'!K33</f>
        <v>7825.2492569352708</v>
      </c>
      <c r="E54" s="218" t="s">
        <v>216</v>
      </c>
      <c r="F54" s="142">
        <f>ROUND(B54*D54,0)</f>
        <v>0</v>
      </c>
      <c r="G54" s="113"/>
      <c r="H54" s="799" t="s">
        <v>289</v>
      </c>
      <c r="I54" s="276" t="s">
        <v>370</v>
      </c>
    </row>
    <row r="55" spans="1:9" s="83" customFormat="1" ht="15.95" customHeight="1">
      <c r="A55" s="149" t="s">
        <v>131</v>
      </c>
      <c r="B55" s="784">
        <f>'Data Sheet'!B38</f>
        <v>0</v>
      </c>
      <c r="C55" s="784"/>
      <c r="D55" s="111">
        <f>'FY22-23 FEE Worksheet'!K34</f>
        <v>15650.498513870542</v>
      </c>
      <c r="E55" s="218" t="s">
        <v>216</v>
      </c>
      <c r="F55" s="142">
        <f t="shared" ref="F55:F60" si="7">ROUND(B55*D55,0)</f>
        <v>0</v>
      </c>
      <c r="G55" s="113"/>
      <c r="H55" s="722"/>
      <c r="I55" s="277"/>
    </row>
    <row r="56" spans="1:9" s="83" customFormat="1" ht="15.95" customHeight="1">
      <c r="A56" s="149" t="s">
        <v>133</v>
      </c>
      <c r="B56" s="784">
        <f>'Data Sheet'!B39</f>
        <v>0</v>
      </c>
      <c r="C56" s="784"/>
      <c r="D56" s="111">
        <f>'FY22-23 FEE Worksheet'!K35</f>
        <v>25041.014118229854</v>
      </c>
      <c r="E56" s="218" t="s">
        <v>216</v>
      </c>
      <c r="F56" s="142">
        <f t="shared" si="7"/>
        <v>0</v>
      </c>
      <c r="G56" s="113"/>
      <c r="H56" s="722"/>
      <c r="I56" s="278" t="s">
        <v>371</v>
      </c>
    </row>
    <row r="57" spans="1:9" s="83" customFormat="1" ht="15.95" customHeight="1">
      <c r="A57" s="149" t="s">
        <v>132</v>
      </c>
      <c r="B57" s="784">
        <f>'Data Sheet'!B40</f>
        <v>0</v>
      </c>
      <c r="C57" s="784"/>
      <c r="D57" s="111">
        <f>'FY22-23 FEE Worksheet'!K36</f>
        <v>46951.495541611621</v>
      </c>
      <c r="E57" s="218" t="s">
        <v>216</v>
      </c>
      <c r="F57" s="142">
        <f t="shared" si="7"/>
        <v>0</v>
      </c>
      <c r="G57" s="113"/>
      <c r="H57" s="722"/>
      <c r="I57" s="278" t="s">
        <v>372</v>
      </c>
    </row>
    <row r="58" spans="1:9" s="83" customFormat="1" ht="15.95" customHeight="1">
      <c r="A58" s="149" t="s">
        <v>134</v>
      </c>
      <c r="B58" s="784">
        <f>'Data Sheet'!B41</f>
        <v>0</v>
      </c>
      <c r="C58" s="784"/>
      <c r="D58" s="111">
        <f>'FY22-23 FEE Worksheet'!K37</f>
        <v>78252.492569352704</v>
      </c>
      <c r="E58" s="218" t="s">
        <v>216</v>
      </c>
      <c r="F58" s="142">
        <f t="shared" si="7"/>
        <v>0</v>
      </c>
      <c r="G58" s="113"/>
      <c r="H58" s="722"/>
      <c r="I58" s="278" t="s">
        <v>373</v>
      </c>
    </row>
    <row r="59" spans="1:9" s="83" customFormat="1" ht="15.95" customHeight="1">
      <c r="A59" s="149" t="s">
        <v>135</v>
      </c>
      <c r="B59" s="784">
        <f>'Data Sheet'!B42</f>
        <v>0</v>
      </c>
      <c r="C59" s="784"/>
      <c r="D59" s="111">
        <f>'FY22-23 FEE Worksheet'!K38</f>
        <v>156504.98513870541</v>
      </c>
      <c r="E59" s="218" t="s">
        <v>216</v>
      </c>
      <c r="F59" s="142">
        <f t="shared" si="7"/>
        <v>0</v>
      </c>
      <c r="G59" s="113"/>
      <c r="H59" s="722"/>
      <c r="I59" s="277"/>
    </row>
    <row r="60" spans="1:9" s="83" customFormat="1" ht="15.95" customHeight="1" thickBot="1">
      <c r="A60" s="149" t="s">
        <v>136</v>
      </c>
      <c r="B60" s="784">
        <f>'Data Sheet'!B43</f>
        <v>0</v>
      </c>
      <c r="C60" s="784"/>
      <c r="D60" s="111">
        <f>'FY22-23 FEE Worksheet'!K39</f>
        <v>250407.97622192866</v>
      </c>
      <c r="E60" s="218" t="s">
        <v>216</v>
      </c>
      <c r="F60" s="142">
        <f t="shared" si="7"/>
        <v>0</v>
      </c>
      <c r="G60" s="113"/>
      <c r="H60" s="723"/>
      <c r="I60" s="279"/>
    </row>
    <row r="61" spans="1:9" s="83" customFormat="1" ht="15.95" customHeight="1" thickTop="1">
      <c r="A61" s="149"/>
      <c r="B61" s="218"/>
      <c r="C61" s="111"/>
      <c r="D61" s="218"/>
      <c r="E61" s="150" t="s">
        <v>182</v>
      </c>
      <c r="F61" s="151">
        <f>SUM(F49:F60)</f>
        <v>0</v>
      </c>
      <c r="G61" s="113"/>
      <c r="H61" s="114"/>
      <c r="I61" s="113"/>
    </row>
    <row r="62" spans="1:9" s="83" customFormat="1" ht="15.95" customHeight="1" thickBot="1">
      <c r="A62" s="145" t="s">
        <v>58</v>
      </c>
      <c r="B62" s="805" t="s">
        <v>53</v>
      </c>
      <c r="C62" s="805"/>
      <c r="D62" s="218"/>
      <c r="E62" s="218"/>
      <c r="F62" s="112"/>
      <c r="G62" s="113"/>
      <c r="H62" s="117"/>
      <c r="I62" s="113"/>
    </row>
    <row r="63" spans="1:9" s="83" customFormat="1" ht="15.95" customHeight="1" thickTop="1">
      <c r="A63" s="118" t="s">
        <v>157</v>
      </c>
      <c r="B63" s="784">
        <f>'Data Sheet'!B45</f>
        <v>0</v>
      </c>
      <c r="C63" s="784"/>
      <c r="D63" s="111">
        <f>'FY22-23 FEE Worksheet'!K41</f>
        <v>7825.2492569352708</v>
      </c>
      <c r="E63" s="218" t="s">
        <v>216</v>
      </c>
      <c r="F63" s="142">
        <f>ROUND(B63*D63,0)</f>
        <v>0</v>
      </c>
      <c r="G63" s="113"/>
      <c r="H63" s="721" t="s">
        <v>215</v>
      </c>
      <c r="I63" s="113"/>
    </row>
    <row r="64" spans="1:9" s="83" customFormat="1" ht="15.95" customHeight="1">
      <c r="A64" s="118" t="s">
        <v>346</v>
      </c>
      <c r="B64" s="784">
        <f>'Data Sheet'!B46</f>
        <v>0</v>
      </c>
      <c r="C64" s="784"/>
      <c r="D64" s="111">
        <f>'FY22-23 FEE Worksheet'!K42</f>
        <v>15650.498513870542</v>
      </c>
      <c r="E64" s="218" t="s">
        <v>216</v>
      </c>
      <c r="F64" s="142">
        <f t="shared" ref="F64:F65" si="8">ROUND(B64*D64,0)</f>
        <v>0</v>
      </c>
      <c r="G64" s="113"/>
      <c r="H64" s="722"/>
      <c r="I64" s="113"/>
    </row>
    <row r="65" spans="1:16" s="83" customFormat="1" ht="15.95" customHeight="1" thickBot="1">
      <c r="A65" s="118" t="s">
        <v>159</v>
      </c>
      <c r="B65" s="785">
        <f>'Data Sheet'!B47</f>
        <v>0</v>
      </c>
      <c r="C65" s="785"/>
      <c r="D65" s="152">
        <f>'FY22-23 FEE Worksheet'!K43</f>
        <v>25041.014118229854</v>
      </c>
      <c r="E65" s="218" t="s">
        <v>216</v>
      </c>
      <c r="F65" s="142">
        <f t="shared" si="8"/>
        <v>0</v>
      </c>
      <c r="G65" s="122"/>
      <c r="H65" s="723"/>
      <c r="I65" s="113"/>
    </row>
    <row r="66" spans="1:16" s="83" customFormat="1" ht="15.95" customHeight="1" thickTop="1">
      <c r="A66" s="118"/>
      <c r="B66" s="153"/>
      <c r="C66" s="152"/>
      <c r="D66" s="218"/>
      <c r="E66" s="150" t="s">
        <v>181</v>
      </c>
      <c r="F66" s="154">
        <f>SUM(F63:F65)</f>
        <v>0</v>
      </c>
      <c r="G66" s="122"/>
      <c r="H66" s="114"/>
      <c r="I66" s="113"/>
    </row>
    <row r="67" spans="1:16" s="83" customFormat="1" ht="15.95" customHeight="1" thickBot="1">
      <c r="A67" s="123"/>
      <c r="B67" s="155"/>
      <c r="C67" s="802" t="s">
        <v>180</v>
      </c>
      <c r="D67" s="802"/>
      <c r="E67" s="802"/>
      <c r="F67" s="126">
        <f>SUM(F66,F61,F47)</f>
        <v>0</v>
      </c>
      <c r="G67" s="122"/>
      <c r="H67" s="114"/>
      <c r="I67" s="113"/>
    </row>
    <row r="68" spans="1:16" s="83" customFormat="1" ht="15.95" customHeight="1" thickTop="1" thickBot="1">
      <c r="A68" s="156" t="s">
        <v>290</v>
      </c>
      <c r="B68" s="218"/>
      <c r="C68" s="111"/>
      <c r="D68" s="218"/>
      <c r="E68" s="218"/>
      <c r="F68" s="147"/>
      <c r="G68" s="113"/>
      <c r="H68" s="114"/>
      <c r="I68" s="113"/>
      <c r="L68" s="83" t="s">
        <v>28</v>
      </c>
    </row>
    <row r="69" spans="1:16" s="83" customFormat="1" ht="15.95" customHeight="1" thickTop="1" thickBot="1">
      <c r="A69" s="115" t="s">
        <v>2</v>
      </c>
      <c r="B69" s="230" t="s">
        <v>3</v>
      </c>
      <c r="C69" s="115" t="s">
        <v>4</v>
      </c>
      <c r="D69" s="743" t="s">
        <v>5</v>
      </c>
      <c r="E69" s="744"/>
      <c r="F69" s="115" t="s">
        <v>198</v>
      </c>
      <c r="G69" s="113"/>
      <c r="H69" s="117"/>
      <c r="I69" s="275"/>
    </row>
    <row r="70" spans="1:16" s="83" customFormat="1" ht="15.95" customHeight="1" thickTop="1">
      <c r="A70" s="118" t="s">
        <v>336</v>
      </c>
      <c r="B70" s="226">
        <f>B72+B71</f>
        <v>0</v>
      </c>
      <c r="C70" s="120">
        <f>'VI. Public Works'!F77</f>
        <v>168</v>
      </c>
      <c r="D70" s="780" t="s">
        <v>216</v>
      </c>
      <c r="E70" s="780"/>
      <c r="F70" s="160">
        <f>ROUND(B70*C70,0)</f>
        <v>0</v>
      </c>
      <c r="G70" s="113"/>
      <c r="H70" s="721" t="s">
        <v>215</v>
      </c>
      <c r="I70" s="219" t="s">
        <v>211</v>
      </c>
      <c r="K70" t="s">
        <v>830</v>
      </c>
      <c r="L70"/>
      <c r="M70"/>
      <c r="N70"/>
      <c r="O70"/>
      <c r="P70" t="s">
        <v>831</v>
      </c>
    </row>
    <row r="71" spans="1:16" s="83" customFormat="1" ht="15.95" customHeight="1">
      <c r="A71" s="118" t="s">
        <v>157</v>
      </c>
      <c r="B71" s="226">
        <f>'Data Sheet'!B49</f>
        <v>0</v>
      </c>
      <c r="C71" s="120">
        <v>462</v>
      </c>
      <c r="D71" s="781" t="s">
        <v>216</v>
      </c>
      <c r="E71" s="781"/>
      <c r="F71" s="142">
        <f>ROUND(B71*C71,0)</f>
        <v>0</v>
      </c>
      <c r="G71" s="113"/>
      <c r="H71" s="722"/>
      <c r="I71" s="778" t="s">
        <v>212</v>
      </c>
      <c r="K71" s="565" t="s">
        <v>832</v>
      </c>
      <c r="L71" s="565" t="s">
        <v>833</v>
      </c>
      <c r="M71" s="565" t="s">
        <v>834</v>
      </c>
      <c r="N71" s="565" t="s">
        <v>226</v>
      </c>
      <c r="O71" s="565" t="s">
        <v>835</v>
      </c>
      <c r="P71" s="565" t="s">
        <v>836</v>
      </c>
    </row>
    <row r="72" spans="1:16" s="83" customFormat="1" ht="15.95" customHeight="1" thickBot="1">
      <c r="A72" s="118" t="s">
        <v>346</v>
      </c>
      <c r="B72" s="226">
        <f>'Data Sheet'!B50</f>
        <v>0</v>
      </c>
      <c r="C72" s="120">
        <v>834</v>
      </c>
      <c r="D72" s="781" t="s">
        <v>216</v>
      </c>
      <c r="E72" s="781"/>
      <c r="F72" s="142">
        <f>ROUND(B72*C72,0)</f>
        <v>0</v>
      </c>
      <c r="G72" s="113"/>
      <c r="H72" s="723"/>
      <c r="I72" s="779"/>
      <c r="K72" s="566" t="s">
        <v>837</v>
      </c>
      <c r="L72" s="567">
        <v>198.21</v>
      </c>
      <c r="M72" s="567">
        <v>103.35</v>
      </c>
      <c r="N72" s="567">
        <f>SUM(L72:M72)</f>
        <v>301.56</v>
      </c>
      <c r="O72" s="567">
        <f>N72*0.09</f>
        <v>27.1404</v>
      </c>
      <c r="P72" s="568">
        <f>SUM(N72:O72)</f>
        <v>328.7004</v>
      </c>
    </row>
    <row r="73" spans="1:16" s="83" customFormat="1" ht="15.95" customHeight="1" thickTop="1">
      <c r="A73" s="156" t="s">
        <v>107</v>
      </c>
      <c r="B73" s="218"/>
      <c r="C73" s="113"/>
      <c r="D73" s="113"/>
      <c r="E73" s="113"/>
      <c r="F73" s="147"/>
      <c r="G73" s="129"/>
      <c r="H73" s="130"/>
      <c r="I73" s="129"/>
      <c r="J73" s="86"/>
      <c r="K73" s="569" t="s">
        <v>838</v>
      </c>
      <c r="L73" s="567">
        <v>243.75</v>
      </c>
      <c r="M73" s="567">
        <v>103.35</v>
      </c>
      <c r="N73" s="567">
        <f t="shared" ref="N73:N75" si="9">SUM(L73:M73)</f>
        <v>347.1</v>
      </c>
      <c r="O73" s="567">
        <f t="shared" ref="O73:O75" si="10">N73*0.09</f>
        <v>31.239000000000001</v>
      </c>
      <c r="P73" s="568">
        <f t="shared" ref="P73:P75" si="11">SUM(N73:O73)</f>
        <v>378.339</v>
      </c>
    </row>
    <row r="74" spans="1:16" s="83" customFormat="1" ht="15.95" customHeight="1" thickBot="1">
      <c r="A74" s="800" t="s">
        <v>251</v>
      </c>
      <c r="B74" s="801"/>
      <c r="C74" s="793" t="s">
        <v>146</v>
      </c>
      <c r="D74" s="793"/>
      <c r="E74" s="158"/>
      <c r="F74" s="147"/>
      <c r="G74" s="113"/>
      <c r="H74" s="117"/>
      <c r="I74" s="113"/>
      <c r="K74" s="570">
        <v>1</v>
      </c>
      <c r="L74" s="567">
        <v>320.95999999999998</v>
      </c>
      <c r="M74" s="567">
        <v>103.35</v>
      </c>
      <c r="N74" s="567">
        <f t="shared" si="9"/>
        <v>424.30999999999995</v>
      </c>
      <c r="O74" s="567">
        <f t="shared" si="10"/>
        <v>38.187899999999992</v>
      </c>
      <c r="P74" s="568">
        <f t="shared" si="11"/>
        <v>462.49789999999996</v>
      </c>
    </row>
    <row r="75" spans="1:16" s="83" customFormat="1" ht="15.95" customHeight="1" thickTop="1">
      <c r="A75" s="149" t="s">
        <v>137</v>
      </c>
      <c r="B75" s="226">
        <f>'Data Sheet'!B52</f>
        <v>0</v>
      </c>
      <c r="C75" s="111">
        <f>+C54*0.8</f>
        <v>0</v>
      </c>
      <c r="D75" s="229" t="s">
        <v>216</v>
      </c>
      <c r="E75" s="142">
        <f>ROUND(B75*C75,0)</f>
        <v>0</v>
      </c>
      <c r="F75" s="134"/>
      <c r="G75" s="113"/>
      <c r="H75" s="799" t="s">
        <v>215</v>
      </c>
      <c r="I75" s="113"/>
      <c r="K75" s="571">
        <v>1.5</v>
      </c>
      <c r="L75" s="567">
        <v>661.61</v>
      </c>
      <c r="M75" s="567">
        <v>103.35</v>
      </c>
      <c r="N75" s="567">
        <f t="shared" si="9"/>
        <v>764.96</v>
      </c>
      <c r="O75" s="567">
        <f t="shared" si="10"/>
        <v>68.846400000000003</v>
      </c>
      <c r="P75" s="568">
        <f t="shared" si="11"/>
        <v>833.80640000000005</v>
      </c>
    </row>
    <row r="76" spans="1:16" s="83" customFormat="1" ht="15.95" customHeight="1">
      <c r="A76" s="149" t="s">
        <v>138</v>
      </c>
      <c r="B76" s="226">
        <f>'Data Sheet'!B53</f>
        <v>0</v>
      </c>
      <c r="C76" s="111">
        <f>+C55*0.8</f>
        <v>0</v>
      </c>
      <c r="D76" s="229" t="s">
        <v>216</v>
      </c>
      <c r="E76" s="142">
        <f>ROUND(B76*C76,0)</f>
        <v>0</v>
      </c>
      <c r="F76" s="134"/>
      <c r="G76" s="113"/>
      <c r="H76" s="722"/>
      <c r="I76" s="113"/>
    </row>
    <row r="77" spans="1:16" s="83" customFormat="1" ht="15.95" customHeight="1">
      <c r="A77" s="149" t="s">
        <v>139</v>
      </c>
      <c r="B77" s="226">
        <f>'Data Sheet'!B54</f>
        <v>0</v>
      </c>
      <c r="C77" s="111">
        <f>+C56*0.8</f>
        <v>0</v>
      </c>
      <c r="D77" s="229" t="s">
        <v>216</v>
      </c>
      <c r="E77" s="142">
        <f>ROUND(B77*C77,0)</f>
        <v>0</v>
      </c>
      <c r="F77" s="134"/>
      <c r="G77" s="113"/>
      <c r="H77" s="722"/>
      <c r="I77" s="113"/>
    </row>
    <row r="78" spans="1:16" s="83" customFormat="1" ht="15.95" customHeight="1" thickBot="1">
      <c r="A78" s="149" t="s">
        <v>140</v>
      </c>
      <c r="B78" s="226">
        <f>'Data Sheet'!B55</f>
        <v>0</v>
      </c>
      <c r="C78" s="111">
        <f>+C57*0.8</f>
        <v>0</v>
      </c>
      <c r="D78" s="229" t="s">
        <v>216</v>
      </c>
      <c r="E78" s="142">
        <f>ROUND(B78*C78,0)</f>
        <v>0</v>
      </c>
      <c r="F78" s="134"/>
      <c r="G78" s="113"/>
      <c r="H78" s="723"/>
      <c r="I78" s="113"/>
    </row>
    <row r="79" spans="1:16" s="83" customFormat="1" ht="15.95" customHeight="1" thickTop="1" thickBot="1">
      <c r="A79" s="790" t="s">
        <v>185</v>
      </c>
      <c r="B79" s="791"/>
      <c r="C79" s="791"/>
      <c r="D79" s="791"/>
      <c r="E79" s="792"/>
      <c r="F79" s="126">
        <f>SUM(F70:F72,E75:E78)</f>
        <v>0</v>
      </c>
      <c r="G79" s="122"/>
      <c r="H79" s="114"/>
      <c r="I79" s="113"/>
    </row>
    <row r="80" spans="1:16" s="83" customFormat="1" ht="15.95" customHeight="1" thickTop="1" thickBot="1">
      <c r="A80" s="788" t="s">
        <v>368</v>
      </c>
      <c r="B80" s="783"/>
      <c r="C80" s="783"/>
      <c r="D80" s="783"/>
      <c r="E80" s="783"/>
      <c r="F80" s="789"/>
      <c r="G80" s="113"/>
      <c r="H80" s="114"/>
      <c r="I80" s="113"/>
    </row>
    <row r="81" spans="1:9" s="83" customFormat="1" ht="15.95" customHeight="1" thickTop="1" thickBot="1">
      <c r="A81" s="115" t="s">
        <v>2</v>
      </c>
      <c r="B81" s="115" t="s">
        <v>3</v>
      </c>
      <c r="C81" s="115" t="s">
        <v>59</v>
      </c>
      <c r="D81" s="743" t="s">
        <v>5</v>
      </c>
      <c r="E81" s="744"/>
      <c r="F81" s="115" t="s">
        <v>198</v>
      </c>
      <c r="G81" s="113"/>
      <c r="H81" s="117"/>
      <c r="I81" s="113"/>
    </row>
    <row r="82" spans="1:9" s="83" customFormat="1" ht="15.95" customHeight="1" thickTop="1">
      <c r="A82" s="231" t="s">
        <v>103</v>
      </c>
      <c r="B82" s="119">
        <f>'Data Sheet'!B15</f>
        <v>0</v>
      </c>
      <c r="C82" s="159">
        <f>'FY22-23 FEE Worksheet'!K58</f>
        <v>9679.5378137384414</v>
      </c>
      <c r="D82" s="780" t="s">
        <v>285</v>
      </c>
      <c r="E82" s="803"/>
      <c r="F82" s="160">
        <f t="shared" ref="F82:F85" si="12">ROUND(B82*C82,0)</f>
        <v>0</v>
      </c>
      <c r="G82" s="113"/>
      <c r="H82" s="799" t="s">
        <v>217</v>
      </c>
      <c r="I82" s="113"/>
    </row>
    <row r="83" spans="1:9" s="83" customFormat="1" ht="15.95" customHeight="1">
      <c r="A83" s="161" t="s">
        <v>141</v>
      </c>
      <c r="B83" s="226">
        <f>'Data Sheet'!B14</f>
        <v>0</v>
      </c>
      <c r="C83" s="120">
        <f>'FY22-23 FEE Worksheet'!K59</f>
        <v>11386.609065389695</v>
      </c>
      <c r="D83" s="781" t="s">
        <v>285</v>
      </c>
      <c r="E83" s="787"/>
      <c r="F83" s="142">
        <f t="shared" si="12"/>
        <v>0</v>
      </c>
      <c r="G83" s="113"/>
      <c r="H83" s="722"/>
      <c r="I83" s="113"/>
    </row>
    <row r="84" spans="1:9" s="83" customFormat="1" ht="15.95" customHeight="1">
      <c r="A84" s="231" t="s">
        <v>108</v>
      </c>
      <c r="B84" s="226">
        <f>'Data Sheet'!B19</f>
        <v>0</v>
      </c>
      <c r="C84" s="120">
        <f>'FY22-23 FEE Worksheet'!K60</f>
        <v>0</v>
      </c>
      <c r="D84" s="781" t="s">
        <v>57</v>
      </c>
      <c r="E84" s="787"/>
      <c r="F84" s="142">
        <f t="shared" si="12"/>
        <v>0</v>
      </c>
      <c r="G84" s="113"/>
      <c r="H84" s="722"/>
      <c r="I84" s="113"/>
    </row>
    <row r="85" spans="1:9" s="83" customFormat="1" ht="15.95" customHeight="1" thickBot="1">
      <c r="A85" s="231" t="s">
        <v>111</v>
      </c>
      <c r="B85" s="226">
        <f>'Data Sheet'!B17</f>
        <v>0</v>
      </c>
      <c r="C85" s="120">
        <f>'FY22-23 FEE Worksheet'!K62</f>
        <v>8882.8323976221927</v>
      </c>
      <c r="D85" s="781" t="s">
        <v>57</v>
      </c>
      <c r="E85" s="787"/>
      <c r="F85" s="142">
        <f t="shared" si="12"/>
        <v>0</v>
      </c>
      <c r="G85" s="113"/>
      <c r="H85" s="722"/>
      <c r="I85" s="113"/>
    </row>
    <row r="86" spans="1:9" s="83" customFormat="1" ht="15.95" customHeight="1" thickTop="1" thickBot="1">
      <c r="A86" s="225" t="s">
        <v>163</v>
      </c>
      <c r="B86" s="229"/>
      <c r="C86" s="120"/>
      <c r="D86" s="129"/>
      <c r="E86" s="229"/>
      <c r="F86" s="147"/>
      <c r="G86" s="113"/>
      <c r="H86" s="148"/>
      <c r="I86" s="113"/>
    </row>
    <row r="87" spans="1:9" s="83" customFormat="1" ht="15.95" customHeight="1" thickTop="1">
      <c r="A87" s="156" t="s">
        <v>347</v>
      </c>
      <c r="B87" s="226">
        <f>'Data Sheet'!B58</f>
        <v>0</v>
      </c>
      <c r="C87" s="120">
        <f>'FY22-23 FEE Worksheet'!K67</f>
        <v>11386.609065389695</v>
      </c>
      <c r="D87" s="781" t="s">
        <v>216</v>
      </c>
      <c r="E87" s="787"/>
      <c r="F87" s="142">
        <f t="shared" ref="F87:F93" si="13">ROUND(B87*C87,0)</f>
        <v>0</v>
      </c>
      <c r="G87" s="113"/>
      <c r="H87" s="799" t="s">
        <v>218</v>
      </c>
      <c r="I87" s="113"/>
    </row>
    <row r="88" spans="1:9" s="83" customFormat="1" ht="15.95" customHeight="1">
      <c r="A88" s="156" t="s">
        <v>348</v>
      </c>
      <c r="B88" s="226">
        <f>'Data Sheet'!B62</f>
        <v>0</v>
      </c>
      <c r="C88" s="120">
        <f>'FY22-23 FEE Worksheet'!K68</f>
        <v>22773.218130779391</v>
      </c>
      <c r="D88" s="781" t="s">
        <v>216</v>
      </c>
      <c r="E88" s="787"/>
      <c r="F88" s="142">
        <f t="shared" si="13"/>
        <v>0</v>
      </c>
      <c r="G88" s="113"/>
      <c r="H88" s="722"/>
      <c r="I88" s="113"/>
    </row>
    <row r="89" spans="1:9" s="83" customFormat="1" ht="15.95" customHeight="1">
      <c r="A89" s="149" t="s">
        <v>349</v>
      </c>
      <c r="B89" s="226">
        <f>'Data Sheet'!B66</f>
        <v>0</v>
      </c>
      <c r="C89" s="120">
        <f>'FY22-23 FEE Worksheet'!K69</f>
        <v>36437.365505284011</v>
      </c>
      <c r="D89" s="781" t="s">
        <v>216</v>
      </c>
      <c r="E89" s="787"/>
      <c r="F89" s="142">
        <f t="shared" si="13"/>
        <v>0</v>
      </c>
      <c r="G89" s="113"/>
      <c r="H89" s="722"/>
      <c r="I89" s="113"/>
    </row>
    <row r="90" spans="1:9" s="83" customFormat="1" ht="15.95" customHeight="1">
      <c r="A90" s="149" t="s">
        <v>350</v>
      </c>
      <c r="B90" s="226">
        <f>'Data Sheet'!B70</f>
        <v>0</v>
      </c>
      <c r="C90" s="120">
        <f>'FY22-23 FEE Worksheet'!K70</f>
        <v>68320.736872523106</v>
      </c>
      <c r="D90" s="781" t="s">
        <v>216</v>
      </c>
      <c r="E90" s="787"/>
      <c r="F90" s="142">
        <f t="shared" si="13"/>
        <v>0</v>
      </c>
      <c r="G90" s="113"/>
      <c r="H90" s="722"/>
      <c r="I90" s="113"/>
    </row>
    <row r="91" spans="1:9" s="83" customFormat="1" ht="15.95" customHeight="1">
      <c r="A91" s="149" t="s">
        <v>351</v>
      </c>
      <c r="B91" s="226">
        <f>'Data Sheet'!B74</f>
        <v>0</v>
      </c>
      <c r="C91" s="120">
        <f>'FY22-23 FEE Worksheet'!K71</f>
        <v>113868.25561426683</v>
      </c>
      <c r="D91" s="781" t="s">
        <v>216</v>
      </c>
      <c r="E91" s="787"/>
      <c r="F91" s="142">
        <f t="shared" si="13"/>
        <v>0</v>
      </c>
      <c r="G91" s="113"/>
      <c r="H91" s="722"/>
      <c r="I91" s="113"/>
    </row>
    <row r="92" spans="1:9" s="83" customFormat="1" ht="15.95" customHeight="1">
      <c r="A92" s="149" t="s">
        <v>352</v>
      </c>
      <c r="B92" s="226">
        <f>'Data Sheet'!B78</f>
        <v>0</v>
      </c>
      <c r="C92" s="120">
        <f>'FY22-23 FEE Worksheet'!K72</f>
        <v>227735.42874834873</v>
      </c>
      <c r="D92" s="781" t="s">
        <v>216</v>
      </c>
      <c r="E92" s="787"/>
      <c r="F92" s="142">
        <f t="shared" si="13"/>
        <v>0</v>
      </c>
      <c r="G92" s="113"/>
      <c r="H92" s="722"/>
      <c r="I92" s="113"/>
    </row>
    <row r="93" spans="1:9" s="83" customFormat="1" ht="15.95" customHeight="1">
      <c r="A93" s="149" t="s">
        <v>353</v>
      </c>
      <c r="B93" s="226">
        <f>'Data Sheet'!B82</f>
        <v>0</v>
      </c>
      <c r="C93" s="120">
        <f>'FY22-23 FEE Worksheet'!K73</f>
        <v>364376.90249339497</v>
      </c>
      <c r="D93" s="781" t="s">
        <v>216</v>
      </c>
      <c r="E93" s="787"/>
      <c r="F93" s="142">
        <f t="shared" si="13"/>
        <v>0</v>
      </c>
      <c r="G93" s="113"/>
      <c r="H93" s="722"/>
      <c r="I93" s="113"/>
    </row>
    <row r="94" spans="1:9" s="83" customFormat="1" ht="15.95" customHeight="1">
      <c r="A94" s="149"/>
      <c r="B94" s="162"/>
      <c r="C94" s="120"/>
      <c r="D94" s="129"/>
      <c r="E94" s="163"/>
      <c r="F94" s="147"/>
      <c r="G94" s="113"/>
      <c r="H94" s="722"/>
      <c r="I94" s="113"/>
    </row>
    <row r="95" spans="1:9" s="83" customFormat="1" ht="15.95" customHeight="1">
      <c r="A95" s="156" t="s">
        <v>354</v>
      </c>
      <c r="B95" s="226">
        <f>'Data Sheet'!B59</f>
        <v>0</v>
      </c>
      <c r="C95" s="120">
        <f>'FY22-23 FEE Worksheet'!L67</f>
        <v>13172.70137054161</v>
      </c>
      <c r="D95" s="781" t="s">
        <v>216</v>
      </c>
      <c r="E95" s="787"/>
      <c r="F95" s="142">
        <f t="shared" ref="F95:F101" si="14">ROUND(B95*C95,0)</f>
        <v>0</v>
      </c>
      <c r="G95" s="113"/>
      <c r="H95" s="722"/>
      <c r="I95" s="113"/>
    </row>
    <row r="96" spans="1:9" s="83" customFormat="1" ht="15.95" customHeight="1">
      <c r="A96" s="156" t="s">
        <v>355</v>
      </c>
      <c r="B96" s="226">
        <f>'Data Sheet'!B63</f>
        <v>0</v>
      </c>
      <c r="C96" s="120">
        <f>'FY22-23 FEE Worksheet'!L68</f>
        <v>26345.40274108322</v>
      </c>
      <c r="D96" s="781" t="s">
        <v>216</v>
      </c>
      <c r="E96" s="787"/>
      <c r="F96" s="142">
        <f t="shared" si="14"/>
        <v>0</v>
      </c>
      <c r="G96" s="113"/>
      <c r="H96" s="722"/>
      <c r="I96" s="113"/>
    </row>
    <row r="97" spans="1:9" s="83" customFormat="1" ht="15.95" customHeight="1">
      <c r="A97" s="149" t="s">
        <v>356</v>
      </c>
      <c r="B97" s="226">
        <f>'Data Sheet'!B67</f>
        <v>0</v>
      </c>
      <c r="C97" s="120">
        <f>'FY22-23 FEE Worksheet'!L69</f>
        <v>42152.860881770146</v>
      </c>
      <c r="D97" s="781" t="s">
        <v>216</v>
      </c>
      <c r="E97" s="787"/>
      <c r="F97" s="142">
        <f t="shared" si="14"/>
        <v>0</v>
      </c>
      <c r="G97" s="113"/>
      <c r="H97" s="722"/>
      <c r="I97" s="113"/>
    </row>
    <row r="98" spans="1:9" s="83" customFormat="1" ht="15.95" customHeight="1">
      <c r="A98" s="149" t="s">
        <v>357</v>
      </c>
      <c r="B98" s="226">
        <f>'Data Sheet'!B71</f>
        <v>0</v>
      </c>
      <c r="C98" s="120">
        <f>'FY22-23 FEE Worksheet'!L70</f>
        <v>79037.290703434599</v>
      </c>
      <c r="D98" s="781" t="s">
        <v>216</v>
      </c>
      <c r="E98" s="787"/>
      <c r="F98" s="142">
        <f t="shared" si="14"/>
        <v>0</v>
      </c>
      <c r="G98" s="113"/>
      <c r="H98" s="722"/>
      <c r="I98" s="113"/>
    </row>
    <row r="99" spans="1:9" s="83" customFormat="1" ht="15.95" customHeight="1">
      <c r="A99" s="149" t="s">
        <v>358</v>
      </c>
      <c r="B99" s="226">
        <f>'Data Sheet'!B75</f>
        <v>0</v>
      </c>
      <c r="C99" s="120">
        <f>'FY22-23 FEE Worksheet'!L71</f>
        <v>131729.17866578599</v>
      </c>
      <c r="D99" s="781" t="s">
        <v>216</v>
      </c>
      <c r="E99" s="787"/>
      <c r="F99" s="142">
        <f t="shared" si="14"/>
        <v>0</v>
      </c>
      <c r="G99" s="113"/>
      <c r="H99" s="722"/>
      <c r="I99" s="113"/>
    </row>
    <row r="100" spans="1:9" s="83" customFormat="1" ht="15.95" customHeight="1">
      <c r="A100" s="149" t="s">
        <v>359</v>
      </c>
      <c r="B100" s="226">
        <f>'Data Sheet'!B79</f>
        <v>0</v>
      </c>
      <c r="C100" s="120">
        <f>'FY22-23 FEE Worksheet'!L72</f>
        <v>263458.35733157198</v>
      </c>
      <c r="D100" s="781" t="s">
        <v>216</v>
      </c>
      <c r="E100" s="787"/>
      <c r="F100" s="142">
        <f t="shared" si="14"/>
        <v>0</v>
      </c>
      <c r="G100" s="113"/>
      <c r="H100" s="722"/>
      <c r="I100" s="113"/>
    </row>
    <row r="101" spans="1:9" s="83" customFormat="1" ht="15.95" customHeight="1">
      <c r="A101" s="149" t="s">
        <v>360</v>
      </c>
      <c r="B101" s="226">
        <f>'Data Sheet'!B83</f>
        <v>0</v>
      </c>
      <c r="C101" s="120">
        <f>'FY22-23 FEE Worksheet'!L73</f>
        <v>421532.93873844121</v>
      </c>
      <c r="D101" s="781" t="s">
        <v>216</v>
      </c>
      <c r="E101" s="787"/>
      <c r="F101" s="142">
        <f t="shared" si="14"/>
        <v>0</v>
      </c>
      <c r="G101" s="113"/>
      <c r="H101" s="722"/>
      <c r="I101" s="113"/>
    </row>
    <row r="102" spans="1:9" s="83" customFormat="1" ht="15.95" customHeight="1">
      <c r="A102" s="149"/>
      <c r="B102" s="162"/>
      <c r="C102" s="120"/>
      <c r="D102" s="129"/>
      <c r="E102" s="163"/>
      <c r="F102" s="147"/>
      <c r="G102" s="113"/>
      <c r="H102" s="722"/>
      <c r="I102" s="113"/>
    </row>
    <row r="103" spans="1:9" s="83" customFormat="1" ht="15.95" customHeight="1">
      <c r="A103" s="156" t="s">
        <v>361</v>
      </c>
      <c r="B103" s="226">
        <f>'Data Sheet'!B60</f>
        <v>0</v>
      </c>
      <c r="C103" s="120">
        <f>'FY22-23 FEE Worksheet'!M67</f>
        <v>16920.24777080581</v>
      </c>
      <c r="D103" s="781" t="s">
        <v>216</v>
      </c>
      <c r="E103" s="787"/>
      <c r="F103" s="142">
        <f t="shared" ref="F103:F109" si="15">ROUND(B103*C103,0)</f>
        <v>0</v>
      </c>
      <c r="G103" s="113"/>
      <c r="H103" s="722"/>
      <c r="I103" s="113"/>
    </row>
    <row r="104" spans="1:9" s="83" customFormat="1" ht="15.95" customHeight="1">
      <c r="A104" s="156" t="s">
        <v>362</v>
      </c>
      <c r="B104" s="226">
        <f>'Data Sheet'!B64</f>
        <v>0</v>
      </c>
      <c r="C104" s="120">
        <f>'FY22-23 FEE Worksheet'!M68</f>
        <v>33840.495541611621</v>
      </c>
      <c r="D104" s="781" t="s">
        <v>216</v>
      </c>
      <c r="E104" s="787"/>
      <c r="F104" s="142">
        <f t="shared" si="15"/>
        <v>0</v>
      </c>
      <c r="G104" s="113"/>
      <c r="H104" s="722"/>
      <c r="I104" s="113"/>
    </row>
    <row r="105" spans="1:9" s="83" customFormat="1" ht="15.95" customHeight="1">
      <c r="A105" s="149" t="s">
        <v>363</v>
      </c>
      <c r="B105" s="226">
        <f>'Data Sheet'!B68</f>
        <v>0</v>
      </c>
      <c r="C105" s="120">
        <f>'FY22-23 FEE Worksheet'!M69</f>
        <v>54144.57637054161</v>
      </c>
      <c r="D105" s="781" t="s">
        <v>216</v>
      </c>
      <c r="E105" s="787"/>
      <c r="F105" s="142">
        <f t="shared" si="15"/>
        <v>0</v>
      </c>
      <c r="G105" s="113"/>
      <c r="H105" s="722"/>
      <c r="I105" s="113"/>
    </row>
    <row r="106" spans="1:9" s="83" customFormat="1" ht="15.95" customHeight="1">
      <c r="A106" s="149" t="s">
        <v>364</v>
      </c>
      <c r="B106" s="226">
        <f>'Data Sheet'!B72</f>
        <v>0</v>
      </c>
      <c r="C106" s="120">
        <f>'FY22-23 FEE Worksheet'!M70</f>
        <v>101521.48662483487</v>
      </c>
      <c r="D106" s="781" t="s">
        <v>216</v>
      </c>
      <c r="E106" s="787"/>
      <c r="F106" s="142">
        <f t="shared" si="15"/>
        <v>0</v>
      </c>
      <c r="G106" s="113"/>
      <c r="H106" s="722"/>
      <c r="I106" s="113"/>
    </row>
    <row r="107" spans="1:9" s="83" customFormat="1" ht="15.95" customHeight="1">
      <c r="A107" s="149" t="s">
        <v>365</v>
      </c>
      <c r="B107" s="226">
        <f>'Data Sheet'!B76</f>
        <v>0</v>
      </c>
      <c r="C107" s="120">
        <f>'FY22-23 FEE Worksheet'!M71</f>
        <v>169204.64266842799</v>
      </c>
      <c r="D107" s="781" t="s">
        <v>216</v>
      </c>
      <c r="E107" s="787"/>
      <c r="F107" s="142">
        <f t="shared" si="15"/>
        <v>0</v>
      </c>
      <c r="G107" s="113"/>
      <c r="H107" s="722"/>
      <c r="I107" s="113"/>
    </row>
    <row r="108" spans="1:9" s="83" customFormat="1" ht="15.95" customHeight="1">
      <c r="A108" s="149" t="s">
        <v>366</v>
      </c>
      <c r="B108" s="226">
        <f>'Data Sheet'!B80</f>
        <v>0</v>
      </c>
      <c r="C108" s="120">
        <f>'FY22-23 FEE Worksheet'!M72</f>
        <v>338407.1203764861</v>
      </c>
      <c r="D108" s="781" t="s">
        <v>216</v>
      </c>
      <c r="E108" s="787"/>
      <c r="F108" s="142">
        <f t="shared" si="15"/>
        <v>0</v>
      </c>
      <c r="G108" s="113"/>
      <c r="H108" s="722"/>
      <c r="I108" s="113"/>
    </row>
    <row r="109" spans="1:9" s="83" customFormat="1" ht="15.95" customHeight="1" thickBot="1">
      <c r="A109" s="149" t="s">
        <v>367</v>
      </c>
      <c r="B109" s="226">
        <f>'Data Sheet'!B84</f>
        <v>0</v>
      </c>
      <c r="C109" s="120">
        <f>'FY22-23 FEE Worksheet'!M73</f>
        <v>541450.09362615587</v>
      </c>
      <c r="D109" s="781" t="s">
        <v>216</v>
      </c>
      <c r="E109" s="787"/>
      <c r="F109" s="143">
        <f t="shared" si="15"/>
        <v>0</v>
      </c>
      <c r="G109" s="113"/>
      <c r="H109" s="723"/>
      <c r="I109" s="113"/>
    </row>
    <row r="110" spans="1:9" s="83" customFormat="1" ht="15.95" customHeight="1" thickTop="1" thickBot="1">
      <c r="A110" s="164"/>
      <c r="B110" s="165"/>
      <c r="C110" s="804" t="s">
        <v>369</v>
      </c>
      <c r="D110" s="804"/>
      <c r="E110" s="804"/>
      <c r="F110" s="126">
        <f>SUM(F103:F109,F95:F101,F87:F93,F82:F85)</f>
        <v>0</v>
      </c>
      <c r="G110" s="122"/>
      <c r="H110" s="114"/>
      <c r="I110" s="113"/>
    </row>
    <row r="111" spans="1:9" s="83" customFormat="1" ht="15.95" customHeight="1" thickTop="1">
      <c r="A111" s="166" t="s">
        <v>291</v>
      </c>
      <c r="B111" s="167"/>
      <c r="C111" s="111"/>
      <c r="D111" s="157"/>
      <c r="E111" s="168"/>
      <c r="F111" s="147"/>
      <c r="G111" s="113"/>
      <c r="H111" s="114"/>
      <c r="I111" s="113"/>
    </row>
    <row r="112" spans="1:9" s="83" customFormat="1" ht="15.95" customHeight="1">
      <c r="A112" s="156" t="s">
        <v>142</v>
      </c>
      <c r="B112" s="167"/>
      <c r="C112" s="111"/>
      <c r="D112" s="157"/>
      <c r="E112" s="168"/>
      <c r="F112" s="134"/>
      <c r="G112" s="113"/>
      <c r="H112" s="114"/>
      <c r="I112" s="113"/>
    </row>
    <row r="113" spans="1:9" s="83" customFormat="1" ht="15.95" customHeight="1">
      <c r="A113" s="156" t="s">
        <v>145</v>
      </c>
      <c r="B113" s="113"/>
      <c r="C113" s="169" t="s">
        <v>60</v>
      </c>
      <c r="D113" s="170">
        <f>'Data Sheet'!B87</f>
        <v>0</v>
      </c>
      <c r="E113" s="229"/>
      <c r="F113" s="147"/>
      <c r="G113" s="113"/>
      <c r="H113" s="114"/>
      <c r="I113" s="113"/>
    </row>
    <row r="114" spans="1:9" s="83" customFormat="1" ht="15.95" customHeight="1">
      <c r="A114" s="156" t="s">
        <v>144</v>
      </c>
      <c r="B114" s="113"/>
      <c r="C114" s="169" t="s">
        <v>61</v>
      </c>
      <c r="D114" s="170">
        <f>'Data Sheet'!B88</f>
        <v>0</v>
      </c>
      <c r="E114" s="229"/>
      <c r="F114" s="147"/>
      <c r="G114" s="113"/>
      <c r="H114" s="114"/>
      <c r="I114" s="113"/>
    </row>
    <row r="115" spans="1:9" s="83" customFormat="1" ht="15.95" customHeight="1" thickBot="1">
      <c r="A115" s="156" t="s">
        <v>143</v>
      </c>
      <c r="B115" s="113"/>
      <c r="C115" s="169" t="s">
        <v>62</v>
      </c>
      <c r="D115" s="170">
        <f>'Data Sheet'!B89</f>
        <v>0</v>
      </c>
      <c r="E115" s="229"/>
      <c r="F115" s="147"/>
      <c r="G115" s="113"/>
      <c r="H115" s="117"/>
      <c r="I115" s="113"/>
    </row>
    <row r="116" spans="1:9" s="83" customFormat="1" ht="15.95" customHeight="1" thickTop="1" thickBot="1">
      <c r="A116" s="118"/>
      <c r="B116" s="113"/>
      <c r="C116" s="171"/>
      <c r="D116" s="113"/>
      <c r="E116" s="222" t="s">
        <v>63</v>
      </c>
      <c r="F116" s="142">
        <f>C87*(D113/200)*(0.83+(0.12*(D114/200))+(0.05*(D115/175)))</f>
        <v>0</v>
      </c>
      <c r="G116" s="113"/>
      <c r="H116" s="172" t="s">
        <v>218</v>
      </c>
      <c r="I116" s="113"/>
    </row>
    <row r="117" spans="1:9" s="83" customFormat="1" ht="15.95" customHeight="1" thickTop="1" thickBot="1">
      <c r="A117" s="173"/>
      <c r="B117" s="113"/>
      <c r="C117" s="174" t="s">
        <v>64</v>
      </c>
      <c r="D117" s="175">
        <f>F116/C87</f>
        <v>0</v>
      </c>
      <c r="E117" s="113"/>
      <c r="F117" s="176"/>
      <c r="G117" s="113"/>
      <c r="H117" s="114"/>
      <c r="I117" s="113"/>
    </row>
    <row r="118" spans="1:9" s="84" customFormat="1" ht="15.95" customHeight="1" thickTop="1" thickBot="1">
      <c r="A118" s="513"/>
      <c r="B118" s="763" t="s">
        <v>179</v>
      </c>
      <c r="C118" s="764"/>
      <c r="D118" s="764"/>
      <c r="E118" s="765"/>
      <c r="F118" s="217">
        <f>ROUND(SUM(F110,F116,F79,F67,F38,F21),0)</f>
        <v>0</v>
      </c>
      <c r="G118" s="177"/>
      <c r="H118" s="114"/>
      <c r="I118" s="177"/>
    </row>
    <row r="119" spans="1:9" s="83" customFormat="1" ht="15.95" customHeight="1" thickTop="1">
      <c r="A119" s="108" t="s">
        <v>65</v>
      </c>
      <c r="B119" s="178"/>
      <c r="C119" s="179"/>
      <c r="D119" s="178"/>
      <c r="E119" s="178"/>
      <c r="F119" s="108"/>
      <c r="G119" s="113"/>
      <c r="H119" s="114"/>
      <c r="I119" s="113"/>
    </row>
    <row r="120" spans="1:9" s="83" customFormat="1" ht="15.95" customHeight="1">
      <c r="A120" s="108"/>
      <c r="B120" s="178"/>
      <c r="C120" s="179"/>
      <c r="D120" s="178"/>
      <c r="E120" s="178"/>
      <c r="F120" s="108"/>
      <c r="G120" s="113"/>
      <c r="H120" s="114"/>
      <c r="I120" s="113"/>
    </row>
    <row r="121" spans="1:9" s="83" customFormat="1" ht="15.95" customHeight="1">
      <c r="A121" s="183" t="s">
        <v>219</v>
      </c>
      <c r="B121" s="797" t="s">
        <v>207</v>
      </c>
      <c r="C121" s="797"/>
      <c r="D121" s="184">
        <f>SUM(E17:F18)</f>
        <v>0</v>
      </c>
      <c r="E121" s="171"/>
      <c r="F121" s="113"/>
      <c r="G121" s="113"/>
      <c r="H121" s="114"/>
      <c r="I121" s="113"/>
    </row>
    <row r="122" spans="1:9" s="83" customFormat="1" ht="15.95" customHeight="1">
      <c r="A122" s="114"/>
      <c r="B122" s="797" t="s">
        <v>208</v>
      </c>
      <c r="C122" s="797"/>
      <c r="D122" s="184">
        <f>SUM(E19:F20)</f>
        <v>0</v>
      </c>
      <c r="E122" s="171"/>
      <c r="F122" s="113"/>
      <c r="G122" s="113"/>
      <c r="H122" s="114"/>
      <c r="I122" s="113"/>
    </row>
    <row r="123" spans="1:9" s="83" customFormat="1" ht="15.95" customHeight="1">
      <c r="A123" s="114"/>
      <c r="B123" s="797" t="s">
        <v>209</v>
      </c>
      <c r="C123" s="797"/>
      <c r="D123" s="185">
        <f>SUM(E24:F26,E35:E36)</f>
        <v>0</v>
      </c>
      <c r="E123" s="171"/>
      <c r="F123" s="113"/>
      <c r="G123" s="113"/>
      <c r="H123" s="114"/>
      <c r="I123" s="113"/>
    </row>
    <row r="124" spans="1:9" s="83" customFormat="1" ht="15.95" customHeight="1">
      <c r="A124" s="114"/>
      <c r="B124" s="797" t="s">
        <v>210</v>
      </c>
      <c r="C124" s="797"/>
      <c r="D124" s="185">
        <f>SUM(E28:F33,E37)</f>
        <v>0</v>
      </c>
      <c r="E124" s="171"/>
      <c r="F124" s="113"/>
      <c r="G124" s="113"/>
      <c r="H124" s="114"/>
      <c r="I124" s="113"/>
    </row>
    <row r="125" spans="1:9" s="83" customFormat="1" ht="15.95" customHeight="1">
      <c r="A125" s="114"/>
      <c r="B125" s="797" t="s">
        <v>213</v>
      </c>
      <c r="C125" s="797"/>
      <c r="D125" s="184">
        <f>SUM(F42:F46)</f>
        <v>0</v>
      </c>
      <c r="E125" s="171"/>
      <c r="F125" s="113"/>
      <c r="G125" s="113"/>
      <c r="H125" s="114"/>
      <c r="I125" s="113"/>
    </row>
    <row r="126" spans="1:9" ht="15.95" customHeight="1" thickBot="1">
      <c r="A126" s="182"/>
      <c r="B126" s="797" t="s">
        <v>214</v>
      </c>
      <c r="C126" s="797"/>
      <c r="D126" s="184">
        <f>SUM(F49:F52)</f>
        <v>0</v>
      </c>
      <c r="E126" s="181"/>
      <c r="F126" s="180"/>
      <c r="G126" s="180"/>
      <c r="H126" s="182"/>
      <c r="I126" s="180"/>
    </row>
    <row r="127" spans="1:9" ht="15.95" customHeight="1" thickBot="1">
      <c r="A127" s="182"/>
      <c r="B127" s="798" t="s">
        <v>343</v>
      </c>
      <c r="C127" s="798"/>
      <c r="D127" s="223">
        <f>SUM(F54:F60)</f>
        <v>0</v>
      </c>
      <c r="E127" s="274"/>
      <c r="F127" s="221"/>
      <c r="G127" s="180"/>
      <c r="H127" s="182"/>
      <c r="I127" s="180"/>
    </row>
    <row r="128" spans="1:9" ht="15.95" customHeight="1">
      <c r="A128" s="182"/>
      <c r="B128" s="797" t="s">
        <v>215</v>
      </c>
      <c r="C128" s="797"/>
      <c r="D128" s="184">
        <f>SUM(F63:F65,F70:F72,E75:E78)</f>
        <v>0</v>
      </c>
      <c r="E128" s="181"/>
      <c r="F128" s="180"/>
      <c r="G128" s="180"/>
      <c r="H128" s="182"/>
      <c r="I128" s="180"/>
    </row>
    <row r="129" spans="1:9" ht="15.95" customHeight="1">
      <c r="A129" s="182"/>
      <c r="B129" s="797" t="s">
        <v>217</v>
      </c>
      <c r="C129" s="797"/>
      <c r="D129" s="184">
        <f>SUM(F82:F85)</f>
        <v>0</v>
      </c>
      <c r="E129" s="181"/>
      <c r="F129" s="180"/>
      <c r="G129" s="180"/>
      <c r="H129" s="182"/>
      <c r="I129" s="180"/>
    </row>
    <row r="130" spans="1:9" ht="15.95" customHeight="1" thickBot="1">
      <c r="A130" s="182"/>
      <c r="B130" s="797" t="s">
        <v>218</v>
      </c>
      <c r="C130" s="797"/>
      <c r="D130" s="186">
        <f>SUM(F87:F109,F116)</f>
        <v>0</v>
      </c>
      <c r="E130" s="181"/>
      <c r="F130" s="180"/>
      <c r="G130" s="180"/>
      <c r="H130" s="182"/>
      <c r="I130" s="180"/>
    </row>
    <row r="131" spans="1:9" ht="15.95" customHeight="1" thickTop="1">
      <c r="A131" s="574"/>
      <c r="B131" s="575"/>
      <c r="C131" s="576" t="s">
        <v>220</v>
      </c>
      <c r="D131" s="577">
        <f>SUM(D121:D130)</f>
        <v>0</v>
      </c>
      <c r="E131" s="578"/>
      <c r="F131" s="574"/>
      <c r="G131" s="180"/>
      <c r="H131" s="182"/>
      <c r="I131" s="180"/>
    </row>
    <row r="132" spans="1:9" s="90" customFormat="1" ht="15.95" hidden="1" customHeight="1" thickBot="1">
      <c r="A132" s="794" t="s">
        <v>278</v>
      </c>
      <c r="B132" s="795"/>
      <c r="C132" s="795"/>
      <c r="D132" s="795"/>
      <c r="E132" s="795"/>
      <c r="F132" s="796"/>
      <c r="G132" s="187"/>
      <c r="H132" s="188"/>
      <c r="I132" s="187"/>
    </row>
    <row r="133" spans="1:9" ht="15.95" hidden="1" customHeight="1">
      <c r="A133" s="189" t="s">
        <v>252</v>
      </c>
      <c r="B133" s="190" t="s">
        <v>253</v>
      </c>
      <c r="C133" s="191"/>
      <c r="D133" s="190"/>
      <c r="E133" s="181"/>
      <c r="F133" s="180"/>
      <c r="G133" s="180"/>
      <c r="H133" s="182"/>
      <c r="I133" s="180"/>
    </row>
    <row r="134" spans="1:9" ht="15.95" hidden="1" customHeight="1">
      <c r="A134" s="189" t="s">
        <v>254</v>
      </c>
      <c r="B134" s="190" t="s">
        <v>255</v>
      </c>
      <c r="C134" s="191"/>
      <c r="D134" s="190"/>
      <c r="E134" s="181"/>
      <c r="F134" s="180"/>
      <c r="G134" s="180"/>
      <c r="H134" s="182"/>
      <c r="I134" s="180"/>
    </row>
    <row r="135" spans="1:9" ht="15.95" hidden="1" customHeight="1">
      <c r="A135" s="189" t="s">
        <v>256</v>
      </c>
      <c r="B135" s="190" t="s">
        <v>257</v>
      </c>
      <c r="C135" s="191" t="s">
        <v>258</v>
      </c>
      <c r="D135" s="190" t="s">
        <v>259</v>
      </c>
      <c r="E135" s="181"/>
      <c r="F135" s="180"/>
      <c r="G135" s="180"/>
      <c r="H135" s="182"/>
      <c r="I135" s="180"/>
    </row>
    <row r="136" spans="1:9" ht="15.95" hidden="1" customHeight="1">
      <c r="A136" s="189" t="s">
        <v>260</v>
      </c>
      <c r="B136" s="190" t="s">
        <v>257</v>
      </c>
      <c r="C136" s="191" t="s">
        <v>261</v>
      </c>
      <c r="D136" s="190"/>
      <c r="E136" s="181"/>
      <c r="F136" s="180"/>
      <c r="G136" s="180"/>
      <c r="H136" s="182"/>
      <c r="I136" s="180"/>
    </row>
    <row r="137" spans="1:9" ht="15.95" hidden="1" customHeight="1" thickBot="1">
      <c r="A137" s="189" t="s">
        <v>262</v>
      </c>
      <c r="B137" s="190" t="s">
        <v>263</v>
      </c>
      <c r="C137" s="191" t="s">
        <v>264</v>
      </c>
      <c r="D137" s="190" t="s">
        <v>265</v>
      </c>
      <c r="E137" s="181"/>
      <c r="F137" s="180"/>
      <c r="G137" s="180"/>
      <c r="H137" s="182"/>
      <c r="I137" s="180"/>
    </row>
    <row r="138" spans="1:9" ht="16.5" hidden="1" thickBot="1">
      <c r="A138" s="775" t="s">
        <v>388</v>
      </c>
      <c r="B138" s="776"/>
      <c r="C138" s="776"/>
      <c r="D138" s="776"/>
      <c r="E138" s="776"/>
      <c r="F138" s="777"/>
    </row>
    <row r="139" spans="1:9" hidden="1">
      <c r="A139" s="766"/>
      <c r="B139" s="767"/>
      <c r="C139" s="767"/>
      <c r="D139" s="767"/>
      <c r="E139" s="767"/>
      <c r="F139" s="768"/>
    </row>
    <row r="140" spans="1:9" hidden="1">
      <c r="A140" s="769"/>
      <c r="B140" s="770"/>
      <c r="C140" s="770"/>
      <c r="D140" s="770"/>
      <c r="E140" s="770"/>
      <c r="F140" s="771"/>
    </row>
    <row r="141" spans="1:9" hidden="1">
      <c r="A141" s="769"/>
      <c r="B141" s="770"/>
      <c r="C141" s="770"/>
      <c r="D141" s="770"/>
      <c r="E141" s="770"/>
      <c r="F141" s="771"/>
    </row>
    <row r="142" spans="1:9" hidden="1">
      <c r="A142" s="769"/>
      <c r="B142" s="770"/>
      <c r="C142" s="770"/>
      <c r="D142" s="770"/>
      <c r="E142" s="770"/>
      <c r="F142" s="771"/>
    </row>
    <row r="143" spans="1:9" hidden="1">
      <c r="A143" s="769"/>
      <c r="B143" s="770"/>
      <c r="C143" s="770"/>
      <c r="D143" s="770"/>
      <c r="E143" s="770"/>
      <c r="F143" s="771"/>
    </row>
    <row r="144" spans="1:9" hidden="1">
      <c r="A144" s="769"/>
      <c r="B144" s="770"/>
      <c r="C144" s="770"/>
      <c r="D144" s="770"/>
      <c r="E144" s="770"/>
      <c r="F144" s="771"/>
    </row>
    <row r="145" spans="1:6" hidden="1">
      <c r="A145" s="769"/>
      <c r="B145" s="770"/>
      <c r="C145" s="770"/>
      <c r="D145" s="770"/>
      <c r="E145" s="770"/>
      <c r="F145" s="771"/>
    </row>
    <row r="146" spans="1:6" hidden="1">
      <c r="A146" s="769"/>
      <c r="B146" s="770"/>
      <c r="C146" s="770"/>
      <c r="D146" s="770"/>
      <c r="E146" s="770"/>
      <c r="F146" s="771"/>
    </row>
    <row r="147" spans="1:6" hidden="1">
      <c r="A147" s="769"/>
      <c r="B147" s="770"/>
      <c r="C147" s="770"/>
      <c r="D147" s="770"/>
      <c r="E147" s="770"/>
      <c r="F147" s="771"/>
    </row>
    <row r="148" spans="1:6" hidden="1">
      <c r="A148" s="769"/>
      <c r="B148" s="770"/>
      <c r="C148" s="770"/>
      <c r="D148" s="770"/>
      <c r="E148" s="770"/>
      <c r="F148" s="771"/>
    </row>
    <row r="149" spans="1:6" hidden="1">
      <c r="A149" s="769"/>
      <c r="B149" s="770"/>
      <c r="C149" s="770"/>
      <c r="D149" s="770"/>
      <c r="E149" s="770"/>
      <c r="F149" s="771"/>
    </row>
    <row r="150" spans="1:6" ht="13.5" hidden="1" thickBot="1">
      <c r="A150" s="772"/>
      <c r="B150" s="773"/>
      <c r="C150" s="773"/>
      <c r="D150" s="773"/>
      <c r="E150" s="773"/>
      <c r="F150" s="774"/>
    </row>
    <row r="151" spans="1:6" hidden="1"/>
  </sheetData>
  <sheetProtection algorithmName="SHA-512" hashValue="QicaxOuNwHE75olb7WovayxklXu0RhwYiAiigcGpUSynTKQJmiAv813wqFYaAj4+UpisSfp7jvq0JFvsGOZaVw==" saltValue="Ecxl3pYSupOE2jPEZdiLcA==" spinCount="100000" sheet="1" objects="1" scenarios="1"/>
  <mergeCells count="112">
    <mergeCell ref="A1:F1"/>
    <mergeCell ref="A2:F2"/>
    <mergeCell ref="A39:F39"/>
    <mergeCell ref="B13:C13"/>
    <mergeCell ref="E13:F13"/>
    <mergeCell ref="A27:D27"/>
    <mergeCell ref="A34:D34"/>
    <mergeCell ref="A38:E38"/>
    <mergeCell ref="E23:F23"/>
    <mergeCell ref="E26:F26"/>
    <mergeCell ref="E28:F28"/>
    <mergeCell ref="B3:F3"/>
    <mergeCell ref="B4:F4"/>
    <mergeCell ref="E16:F16"/>
    <mergeCell ref="E17:F17"/>
    <mergeCell ref="E18:F18"/>
    <mergeCell ref="E19:F19"/>
    <mergeCell ref="E20:F20"/>
    <mergeCell ref="H24:H26"/>
    <mergeCell ref="H28:H33"/>
    <mergeCell ref="H35:H36"/>
    <mergeCell ref="H42:H46"/>
    <mergeCell ref="B5:C5"/>
    <mergeCell ref="B6:C6"/>
    <mergeCell ref="B7:C7"/>
    <mergeCell ref="H17:H18"/>
    <mergeCell ref="H19:H20"/>
    <mergeCell ref="D21:E21"/>
    <mergeCell ref="E31:F31"/>
    <mergeCell ref="E32:F32"/>
    <mergeCell ref="E33:F33"/>
    <mergeCell ref="E24:F24"/>
    <mergeCell ref="E25:F25"/>
    <mergeCell ref="E29:F29"/>
    <mergeCell ref="E30:F30"/>
    <mergeCell ref="B40:C40"/>
    <mergeCell ref="H82:H85"/>
    <mergeCell ref="H75:H78"/>
    <mergeCell ref="H87:H109"/>
    <mergeCell ref="B121:C121"/>
    <mergeCell ref="B122:C122"/>
    <mergeCell ref="H49:H52"/>
    <mergeCell ref="H54:H60"/>
    <mergeCell ref="H63:H65"/>
    <mergeCell ref="H70:H72"/>
    <mergeCell ref="D109:E109"/>
    <mergeCell ref="D105:E105"/>
    <mergeCell ref="D106:E106"/>
    <mergeCell ref="A74:B74"/>
    <mergeCell ref="C67:E67"/>
    <mergeCell ref="D101:E101"/>
    <mergeCell ref="D103:E103"/>
    <mergeCell ref="D104:E104"/>
    <mergeCell ref="D96:E96"/>
    <mergeCell ref="D97:E97"/>
    <mergeCell ref="D82:E82"/>
    <mergeCell ref="D95:E95"/>
    <mergeCell ref="C110:E110"/>
    <mergeCell ref="D107:E107"/>
    <mergeCell ref="B62:C62"/>
    <mergeCell ref="A132:F132"/>
    <mergeCell ref="B128:C128"/>
    <mergeCell ref="B129:C129"/>
    <mergeCell ref="B130:C130"/>
    <mergeCell ref="B123:C123"/>
    <mergeCell ref="B124:C124"/>
    <mergeCell ref="B125:C125"/>
    <mergeCell ref="B126:C126"/>
    <mergeCell ref="B127:C127"/>
    <mergeCell ref="B48:C48"/>
    <mergeCell ref="D108:E108"/>
    <mergeCell ref="A80:F80"/>
    <mergeCell ref="A79:E79"/>
    <mergeCell ref="C74:D74"/>
    <mergeCell ref="D98:E98"/>
    <mergeCell ref="D99:E99"/>
    <mergeCell ref="D100:E100"/>
    <mergeCell ref="D81:E81"/>
    <mergeCell ref="D83:E83"/>
    <mergeCell ref="D84:E84"/>
    <mergeCell ref="D85:E85"/>
    <mergeCell ref="D87:E87"/>
    <mergeCell ref="D88:E88"/>
    <mergeCell ref="D89:E89"/>
    <mergeCell ref="D90:E90"/>
    <mergeCell ref="D91:E91"/>
    <mergeCell ref="D92:E92"/>
    <mergeCell ref="D93:E93"/>
    <mergeCell ref="B118:E118"/>
    <mergeCell ref="A139:F150"/>
    <mergeCell ref="A138:F138"/>
    <mergeCell ref="I71:I72"/>
    <mergeCell ref="D69:E69"/>
    <mergeCell ref="D70:E70"/>
    <mergeCell ref="D71:E71"/>
    <mergeCell ref="D72:E72"/>
    <mergeCell ref="I43:I46"/>
    <mergeCell ref="A47:D47"/>
    <mergeCell ref="B49:C49"/>
    <mergeCell ref="B50:C50"/>
    <mergeCell ref="B51:C51"/>
    <mergeCell ref="B52:C52"/>
    <mergeCell ref="B54:C54"/>
    <mergeCell ref="B55:C55"/>
    <mergeCell ref="B56:C56"/>
    <mergeCell ref="B57:C57"/>
    <mergeCell ref="B58:C58"/>
    <mergeCell ref="B59:C59"/>
    <mergeCell ref="B60:C60"/>
    <mergeCell ref="B63:C63"/>
    <mergeCell ref="B64:C64"/>
    <mergeCell ref="B65:C65"/>
  </mergeCells>
  <conditionalFormatting sqref="F70:F73 F104:F105 E27 F38 E34:E37 F79 E75:E78 F109:F111 F22:F23 F41:F46 E17:E20 D117 F113:F115 F83:F86 F48:F68">
    <cfRule type="cellIs" dxfId="26" priority="26" stopIfTrue="1" operator="equal">
      <formula>0</formula>
    </cfRule>
  </conditionalFormatting>
  <conditionalFormatting sqref="F82">
    <cfRule type="cellIs" dxfId="25" priority="25" stopIfTrue="1" operator="equal">
      <formula>0</formula>
    </cfRule>
  </conditionalFormatting>
  <conditionalFormatting sqref="F103">
    <cfRule type="cellIs" dxfId="24" priority="24" stopIfTrue="1" operator="equal">
      <formula>0</formula>
    </cfRule>
  </conditionalFormatting>
  <conditionalFormatting sqref="F108">
    <cfRule type="cellIs" dxfId="23" priority="23" stopIfTrue="1" operator="equal">
      <formula>0</formula>
    </cfRule>
  </conditionalFormatting>
  <conditionalFormatting sqref="F107">
    <cfRule type="cellIs" dxfId="22" priority="22" stopIfTrue="1" operator="equal">
      <formula>0</formula>
    </cfRule>
  </conditionalFormatting>
  <conditionalFormatting sqref="F106">
    <cfRule type="cellIs" dxfId="21" priority="21" stopIfTrue="1" operator="equal">
      <formula>0</formula>
    </cfRule>
  </conditionalFormatting>
  <conditionalFormatting sqref="F88:F89 F93:F94">
    <cfRule type="cellIs" dxfId="20" priority="20" stopIfTrue="1" operator="equal">
      <formula>0</formula>
    </cfRule>
  </conditionalFormatting>
  <conditionalFormatting sqref="F87">
    <cfRule type="cellIs" dxfId="19" priority="19" stopIfTrue="1" operator="equal">
      <formula>0</formula>
    </cfRule>
  </conditionalFormatting>
  <conditionalFormatting sqref="F92">
    <cfRule type="cellIs" dxfId="18" priority="18" stopIfTrue="1" operator="equal">
      <formula>0</formula>
    </cfRule>
  </conditionalFormatting>
  <conditionalFormatting sqref="F91">
    <cfRule type="cellIs" dxfId="17" priority="17" stopIfTrue="1" operator="equal">
      <formula>0</formula>
    </cfRule>
  </conditionalFormatting>
  <conditionalFormatting sqref="F90">
    <cfRule type="cellIs" dxfId="16" priority="16" stopIfTrue="1" operator="equal">
      <formula>0</formula>
    </cfRule>
  </conditionalFormatting>
  <conditionalFormatting sqref="F96:F97 F101:F102">
    <cfRule type="cellIs" dxfId="15" priority="15" stopIfTrue="1" operator="equal">
      <formula>0</formula>
    </cfRule>
  </conditionalFormatting>
  <conditionalFormatting sqref="F95">
    <cfRule type="cellIs" dxfId="14" priority="14" stopIfTrue="1" operator="equal">
      <formula>0</formula>
    </cfRule>
  </conditionalFormatting>
  <conditionalFormatting sqref="F100">
    <cfRule type="cellIs" dxfId="13" priority="13" stopIfTrue="1" operator="equal">
      <formula>0</formula>
    </cfRule>
  </conditionalFormatting>
  <conditionalFormatting sqref="F99">
    <cfRule type="cellIs" dxfId="12" priority="12" stopIfTrue="1" operator="equal">
      <formula>0</formula>
    </cfRule>
  </conditionalFormatting>
  <conditionalFormatting sqref="F98">
    <cfRule type="cellIs" dxfId="11" priority="11" stopIfTrue="1" operator="equal">
      <formula>0</formula>
    </cfRule>
  </conditionalFormatting>
  <conditionalFormatting sqref="F74">
    <cfRule type="cellIs" dxfId="10" priority="7" stopIfTrue="1" operator="equal">
      <formula>0</formula>
    </cfRule>
  </conditionalFormatting>
  <conditionalFormatting sqref="E24:E26">
    <cfRule type="cellIs" dxfId="9" priority="6" stopIfTrue="1" operator="equal">
      <formula>0</formula>
    </cfRule>
  </conditionalFormatting>
  <conditionalFormatting sqref="E28:E33">
    <cfRule type="cellIs" dxfId="8" priority="5" stopIfTrue="1" operator="equal">
      <formula>0</formula>
    </cfRule>
  </conditionalFormatting>
  <conditionalFormatting sqref="F21">
    <cfRule type="cellIs" dxfId="7" priority="4" stopIfTrue="1" operator="equal">
      <formula>0</formula>
    </cfRule>
  </conditionalFormatting>
  <conditionalFormatting sqref="F47">
    <cfRule type="cellIs" dxfId="6" priority="3" stopIfTrue="1" operator="equal">
      <formula>0</formula>
    </cfRule>
  </conditionalFormatting>
  <conditionalFormatting sqref="F116">
    <cfRule type="cellIs" dxfId="5" priority="2" stopIfTrue="1" operator="equal">
      <formula>0</formula>
    </cfRule>
  </conditionalFormatting>
  <conditionalFormatting sqref="F118">
    <cfRule type="cellIs" dxfId="4" priority="1" stopIfTrue="1" operator="equal">
      <formula>0</formula>
    </cfRule>
  </conditionalFormatting>
  <dataValidations count="1">
    <dataValidation type="list" allowBlank="1" showInputMessage="1" showErrorMessage="1" promptTitle="Manual Entry - Drop Down List" prompt="Select the correct GL Code for Domestic Connection _x000a_460-00-00-0000-3660-601 (Commercial)_x000a_460-00-00-0000-3660-605 (Airport)_x000a_460-00-00-0000-3660-606 (Shiloh Ranch/Mayacama)" sqref="E127" xr:uid="{1082D940-CBFF-4DE3-A3FF-4B11FCC105FC}">
      <formula1>$I$56:$I$58</formula1>
    </dataValidation>
  </dataValidations>
  <pageMargins left="0.25" right="0.25" top="0.25" bottom="0.25" header="0.3" footer="0.3"/>
  <pageSetup scale="55" fitToHeight="0" orientation="portrait" r:id="rId1"/>
  <headerFooter>
    <oddHeader>&amp;RDocument Prepared on &amp;D</oddHeader>
    <oddFooter>&amp;L&amp;F&amp;R&amp;P</oddFooter>
  </headerFooter>
  <rowBreaks count="1" manualBreakCount="1">
    <brk id="79"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81B796-A515-41F0-9E09-68B18B6F92E5}">
  <sheetPr>
    <tabColor theme="2" tint="-0.249977111117893"/>
    <pageSetUpPr fitToPage="1"/>
  </sheetPr>
  <dimension ref="A1:I20"/>
  <sheetViews>
    <sheetView zoomScaleNormal="100" workbookViewId="0">
      <selection activeCell="B3" sqref="B3:F3"/>
    </sheetView>
  </sheetViews>
  <sheetFormatPr defaultColWidth="9.33203125" defaultRowHeight="12.75"/>
  <cols>
    <col min="1" max="1" width="41.83203125" style="210" customWidth="1"/>
    <col min="2" max="2" width="13.83203125" style="210" customWidth="1"/>
    <col min="3" max="3" width="15" style="210" customWidth="1"/>
    <col min="4" max="4" width="16.33203125" style="210" customWidth="1"/>
    <col min="5" max="5" width="9.33203125" style="210"/>
    <col min="6" max="6" width="16.6640625" style="210" customWidth="1"/>
    <col min="7" max="7" width="3.1640625" style="210" customWidth="1"/>
    <col min="8" max="8" width="31" style="211" hidden="1" customWidth="1"/>
    <col min="9" max="9" width="9.33203125" style="210" hidden="1" customWidth="1"/>
    <col min="10" max="10" width="0" style="210" hidden="1" customWidth="1"/>
    <col min="11" max="16384" width="9.33203125" style="210"/>
  </cols>
  <sheetData>
    <row r="1" spans="1:9" ht="45" customHeight="1">
      <c r="A1" s="745" t="s">
        <v>168</v>
      </c>
      <c r="B1" s="746"/>
      <c r="C1" s="746"/>
      <c r="D1" s="746"/>
      <c r="E1" s="746"/>
      <c r="F1" s="747"/>
    </row>
    <row r="2" spans="1:9" ht="45" customHeight="1" thickBot="1">
      <c r="A2" s="808" t="s">
        <v>169</v>
      </c>
      <c r="B2" s="749"/>
      <c r="C2" s="749"/>
      <c r="D2" s="749"/>
      <c r="E2" s="749"/>
      <c r="F2" s="750"/>
    </row>
    <row r="3" spans="1:9" ht="20.100000000000001" customHeight="1">
      <c r="A3" s="303" t="s">
        <v>89</v>
      </c>
      <c r="B3" s="751">
        <f>'Data Sheet'!B5</f>
        <v>0</v>
      </c>
      <c r="C3" s="752"/>
      <c r="D3" s="752"/>
      <c r="E3" s="752"/>
      <c r="F3" s="753"/>
      <c r="G3" s="283"/>
      <c r="H3" s="284"/>
      <c r="I3" s="285"/>
    </row>
    <row r="4" spans="1:9" ht="20.100000000000001" customHeight="1">
      <c r="A4" s="304" t="s">
        <v>90</v>
      </c>
      <c r="B4" s="754">
        <f>'Data Sheet'!B6</f>
        <v>0</v>
      </c>
      <c r="C4" s="755"/>
      <c r="D4" s="755"/>
      <c r="E4" s="755"/>
      <c r="F4" s="756"/>
    </row>
    <row r="5" spans="1:9" ht="20.100000000000001" customHeight="1">
      <c r="A5" s="304" t="s">
        <v>91</v>
      </c>
      <c r="B5" s="754">
        <f>'Data Sheet'!B7</f>
        <v>0</v>
      </c>
      <c r="C5" s="755"/>
      <c r="D5" s="93"/>
      <c r="E5" s="93"/>
      <c r="F5" s="94"/>
    </row>
    <row r="6" spans="1:9" ht="20.100000000000001" customHeight="1" thickBot="1">
      <c r="A6" s="304" t="s">
        <v>92</v>
      </c>
      <c r="B6" s="761">
        <f>'Data Sheet'!B9</f>
        <v>0</v>
      </c>
      <c r="C6" s="762"/>
      <c r="D6" s="100"/>
      <c r="E6" s="100"/>
      <c r="F6" s="101"/>
      <c r="G6" s="283"/>
    </row>
    <row r="7" spans="1:9" ht="20.100000000000001" customHeight="1" thickBot="1">
      <c r="A7" s="309" t="s">
        <v>394</v>
      </c>
      <c r="B7" s="828"/>
      <c r="C7" s="829"/>
      <c r="D7" s="305" t="s">
        <v>14</v>
      </c>
      <c r="E7" s="830"/>
      <c r="F7" s="831"/>
      <c r="G7" s="283"/>
    </row>
    <row r="8" spans="1:9" s="308" customFormat="1" ht="9.75" customHeight="1" thickBot="1">
      <c r="A8" s="832"/>
      <c r="B8" s="832"/>
      <c r="C8" s="832"/>
      <c r="D8" s="832"/>
      <c r="E8" s="832"/>
      <c r="F8" s="832"/>
      <c r="G8" s="306"/>
      <c r="H8" s="307"/>
    </row>
    <row r="9" spans="1:9" ht="20.100000000000001" customHeight="1" thickTop="1" thickBot="1">
      <c r="A9" s="201" t="s">
        <v>2</v>
      </c>
      <c r="B9" s="201" t="s">
        <v>3</v>
      </c>
      <c r="C9" s="202" t="s">
        <v>4</v>
      </c>
      <c r="D9" s="201" t="s">
        <v>5</v>
      </c>
      <c r="E9" s="822" t="s">
        <v>7</v>
      </c>
      <c r="F9" s="823"/>
      <c r="H9" s="286"/>
    </row>
    <row r="10" spans="1:9" ht="20.100000000000001" customHeight="1" thickTop="1">
      <c r="A10" s="300" t="s">
        <v>384</v>
      </c>
      <c r="B10" s="119">
        <f>'Data Sheet'!B13</f>
        <v>0</v>
      </c>
      <c r="C10" s="120">
        <f>'FY22-23 FEE Worksheet'!K238</f>
        <v>117.57782091315723</v>
      </c>
      <c r="D10" s="229" t="s">
        <v>6</v>
      </c>
      <c r="E10" s="739">
        <f>ROUND(+B10*C10,0)</f>
        <v>0</v>
      </c>
      <c r="F10" s="739"/>
      <c r="H10" s="825" t="s">
        <v>206</v>
      </c>
    </row>
    <row r="11" spans="1:9" ht="20.100000000000001" customHeight="1">
      <c r="A11" s="301" t="s">
        <v>385</v>
      </c>
      <c r="B11" s="226">
        <f>'Data Sheet'!B17</f>
        <v>0</v>
      </c>
      <c r="C11" s="120">
        <f>'FY22-23 FEE Worksheet'!K239</f>
        <v>93.859979745126168</v>
      </c>
      <c r="D11" s="229" t="s">
        <v>6</v>
      </c>
      <c r="E11" s="738">
        <f>ROUND(+B11*C11,0)</f>
        <v>0</v>
      </c>
      <c r="F11" s="738"/>
      <c r="H11" s="826"/>
    </row>
    <row r="12" spans="1:9" ht="20.100000000000001" customHeight="1">
      <c r="A12" s="301" t="s">
        <v>383</v>
      </c>
      <c r="B12" s="226">
        <f>'Data Sheet'!B21</f>
        <v>0</v>
      </c>
      <c r="C12" s="120">
        <f>'FY22-23 FEE Worksheet'!K240</f>
        <v>83.051059161110629</v>
      </c>
      <c r="D12" s="229" t="s">
        <v>6</v>
      </c>
      <c r="E12" s="738">
        <f>ROUND(+B12*C12,0)</f>
        <v>0</v>
      </c>
      <c r="F12" s="738"/>
      <c r="H12" s="826"/>
    </row>
    <row r="13" spans="1:9" ht="20.100000000000001" customHeight="1">
      <c r="A13" s="294" t="s">
        <v>284</v>
      </c>
      <c r="B13" s="226">
        <f>'Data Sheet'!B24</f>
        <v>0</v>
      </c>
      <c r="C13" s="120">
        <f>'FY22-23 FEE Worksheet'!K244</f>
        <v>26.983686387036879</v>
      </c>
      <c r="D13" s="229" t="s">
        <v>162</v>
      </c>
      <c r="E13" s="738">
        <f>ROUND(+B13*C13,0)/1000</f>
        <v>0</v>
      </c>
      <c r="F13" s="738"/>
      <c r="H13" s="826"/>
    </row>
    <row r="14" spans="1:9" ht="20.100000000000001" customHeight="1">
      <c r="A14" s="294" t="s">
        <v>1</v>
      </c>
      <c r="B14" s="226">
        <f>'Data Sheet'!B27</f>
        <v>0</v>
      </c>
      <c r="C14" s="120">
        <f>'FY22-23 FEE Worksheet'!K245</f>
        <v>44.247067263060174</v>
      </c>
      <c r="D14" s="229" t="s">
        <v>162</v>
      </c>
      <c r="E14" s="738">
        <f t="shared" ref="E14:E15" si="0">B14*C14/1000</f>
        <v>0</v>
      </c>
      <c r="F14" s="738"/>
      <c r="H14" s="826"/>
    </row>
    <row r="15" spans="1:9" ht="20.100000000000001" customHeight="1" thickBot="1">
      <c r="A15" s="295" t="s">
        <v>18</v>
      </c>
      <c r="B15" s="208">
        <f>'Data Sheet'!B28+'Data Sheet'!B29</f>
        <v>0</v>
      </c>
      <c r="C15" s="125">
        <f>'FY22-23 FEE Worksheet'!K246</f>
        <v>19.401995949025235</v>
      </c>
      <c r="D15" s="209" t="s">
        <v>162</v>
      </c>
      <c r="E15" s="741">
        <f t="shared" si="0"/>
        <v>0</v>
      </c>
      <c r="F15" s="741"/>
      <c r="H15" s="827"/>
    </row>
    <row r="16" spans="1:9" ht="20.100000000000001" customHeight="1" thickTop="1" thickBot="1">
      <c r="A16" s="512"/>
      <c r="B16" s="763" t="s">
        <v>187</v>
      </c>
      <c r="C16" s="764"/>
      <c r="D16" s="824"/>
      <c r="E16" s="736">
        <f>SUM(E10:F15)</f>
        <v>0</v>
      </c>
      <c r="F16" s="737"/>
    </row>
    <row r="17" spans="1:6" ht="20.100000000000001" customHeight="1" thickTop="1">
      <c r="A17" s="199"/>
      <c r="B17" s="199"/>
      <c r="C17" s="199"/>
      <c r="D17" s="199"/>
      <c r="E17" s="199"/>
      <c r="F17" s="199"/>
    </row>
    <row r="18" spans="1:6" ht="15.75">
      <c r="A18" s="199"/>
      <c r="B18" s="199"/>
      <c r="C18" s="199"/>
      <c r="D18" s="199"/>
      <c r="E18" s="199"/>
      <c r="F18" s="199"/>
    </row>
    <row r="19" spans="1:6" ht="15.75">
      <c r="A19" s="199"/>
    </row>
    <row r="20" spans="1:6" ht="15.75">
      <c r="A20" s="199"/>
    </row>
  </sheetData>
  <sheetProtection algorithmName="SHA-512" hashValue="wAdS1DiaU03XpxoK6JaMmL19c/Jv0qDpUkcjF58y1e9I2kbjeEcX9G//B6IFwNg+pqBZ6uSzq6sabhs03nf+bA==" saltValue="GGhj4+dNKdVdAvP5neK2Cw==" spinCount="100000" sheet="1" objects="1" scenarios="1"/>
  <mergeCells count="19">
    <mergeCell ref="E9:F9"/>
    <mergeCell ref="A1:F1"/>
    <mergeCell ref="A2:F2"/>
    <mergeCell ref="B3:F3"/>
    <mergeCell ref="B4:F4"/>
    <mergeCell ref="B5:C5"/>
    <mergeCell ref="B6:C6"/>
    <mergeCell ref="B7:C7"/>
    <mergeCell ref="E7:F7"/>
    <mergeCell ref="A8:F8"/>
    <mergeCell ref="B16:D16"/>
    <mergeCell ref="H10:H15"/>
    <mergeCell ref="E15:F15"/>
    <mergeCell ref="E16:F16"/>
    <mergeCell ref="E10:F10"/>
    <mergeCell ref="E11:F11"/>
    <mergeCell ref="E12:F12"/>
    <mergeCell ref="E13:F13"/>
    <mergeCell ref="E14:F14"/>
  </mergeCells>
  <conditionalFormatting sqref="E10:E15">
    <cfRule type="cellIs" dxfId="3" priority="3" stopIfTrue="1" operator="equal">
      <formula>0</formula>
    </cfRule>
  </conditionalFormatting>
  <pageMargins left="0.7" right="0.7" top="0.75" bottom="0.75" header="0.3" footer="0.3"/>
  <pageSetup scale="68" fitToHeight="0" orientation="portrait" horizontalDpi="1200" verticalDpi="1200" r:id="rId1"/>
  <headerFooter>
    <oddHeader>&amp;RDocument Prepared on &amp;D</oddHeader>
    <oddFooter>&amp;L&amp;F&amp;R&amp;P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56A1F6-289C-4ADE-8FA3-A0DB99840552}">
  <sheetPr>
    <tabColor theme="2" tint="-0.249977111117893"/>
    <pageSetUpPr fitToPage="1"/>
  </sheetPr>
  <dimension ref="A1:J53"/>
  <sheetViews>
    <sheetView zoomScaleNormal="100" workbookViewId="0">
      <selection activeCell="B3" sqref="B3:F3"/>
    </sheetView>
  </sheetViews>
  <sheetFormatPr defaultColWidth="9.33203125" defaultRowHeight="12.75"/>
  <cols>
    <col min="1" max="1" width="52" style="69" customWidth="1"/>
    <col min="2" max="2" width="22.33203125" style="69" customWidth="1"/>
    <col min="3" max="3" width="15" style="69" customWidth="1"/>
    <col min="4" max="4" width="22.6640625" style="69" customWidth="1"/>
    <col min="5" max="5" width="9.33203125" style="69"/>
    <col min="6" max="6" width="16.6640625" style="69" customWidth="1"/>
    <col min="7" max="7" width="3.1640625" style="69" customWidth="1"/>
    <col min="8" max="8" width="30.1640625" style="69" hidden="1" customWidth="1"/>
    <col min="9" max="9" width="15.5" style="69" hidden="1" customWidth="1"/>
    <col min="10" max="10" width="14.5" style="69" hidden="1" customWidth="1"/>
    <col min="11" max="16384" width="9.33203125" style="69"/>
  </cols>
  <sheetData>
    <row r="1" spans="1:9" ht="50.1" customHeight="1">
      <c r="A1" s="745" t="s">
        <v>178</v>
      </c>
      <c r="B1" s="746"/>
      <c r="C1" s="746"/>
      <c r="D1" s="746"/>
      <c r="E1" s="746"/>
      <c r="F1" s="747"/>
      <c r="G1" s="210"/>
      <c r="H1" s="210"/>
    </row>
    <row r="2" spans="1:9" ht="50.1" customHeight="1" thickBot="1">
      <c r="A2" s="808" t="s">
        <v>164</v>
      </c>
      <c r="B2" s="749"/>
      <c r="C2" s="749"/>
      <c r="D2" s="749"/>
      <c r="E2" s="749"/>
      <c r="F2" s="750"/>
      <c r="G2" s="210"/>
      <c r="H2" s="210"/>
    </row>
    <row r="3" spans="1:9" s="42" customFormat="1" ht="20.100000000000001" customHeight="1">
      <c r="A3" s="92" t="s">
        <v>89</v>
      </c>
      <c r="B3" s="751">
        <f>'Data Sheet'!B5</f>
        <v>0</v>
      </c>
      <c r="C3" s="752"/>
      <c r="D3" s="752"/>
      <c r="E3" s="752"/>
      <c r="F3" s="753"/>
      <c r="G3" s="199"/>
      <c r="H3" s="283"/>
    </row>
    <row r="4" spans="1:9" s="42" customFormat="1" ht="20.100000000000001" customHeight="1">
      <c r="A4" s="92" t="s">
        <v>90</v>
      </c>
      <c r="B4" s="754">
        <f>'Data Sheet'!B6</f>
        <v>0</v>
      </c>
      <c r="C4" s="755"/>
      <c r="D4" s="755"/>
      <c r="E4" s="755"/>
      <c r="F4" s="756"/>
      <c r="G4" s="199"/>
      <c r="H4" s="199"/>
    </row>
    <row r="5" spans="1:9" s="42" customFormat="1" ht="20.100000000000001" customHeight="1">
      <c r="A5" s="92" t="s">
        <v>91</v>
      </c>
      <c r="B5" s="754">
        <f>'Data Sheet'!B7</f>
        <v>0</v>
      </c>
      <c r="C5" s="755"/>
      <c r="D5" s="93"/>
      <c r="E5" s="93"/>
      <c r="F5" s="94"/>
      <c r="G5" s="199"/>
      <c r="H5" s="199"/>
    </row>
    <row r="6" spans="1:9" s="42" customFormat="1" ht="20.100000000000001" customHeight="1">
      <c r="A6" s="92" t="s">
        <v>92</v>
      </c>
      <c r="B6" s="754">
        <f>'Data Sheet'!B9</f>
        <v>0</v>
      </c>
      <c r="C6" s="755"/>
      <c r="D6" s="93"/>
      <c r="E6" s="93"/>
      <c r="F6" s="94"/>
      <c r="G6" s="199"/>
      <c r="H6" s="199"/>
    </row>
    <row r="7" spans="1:9" s="42" customFormat="1" ht="20.100000000000001" customHeight="1" thickBot="1">
      <c r="A7" s="287" t="s">
        <v>105</v>
      </c>
      <c r="B7" s="235">
        <f>'Data Sheet'!B91</f>
        <v>0</v>
      </c>
      <c r="C7" s="236"/>
      <c r="D7" s="100"/>
      <c r="E7" s="100"/>
      <c r="F7" s="101"/>
      <c r="G7" s="199"/>
      <c r="H7" s="199"/>
    </row>
    <row r="8" spans="1:9" s="42" customFormat="1" ht="20.100000000000001" customHeight="1" thickBot="1">
      <c r="A8" s="193" t="s">
        <v>97</v>
      </c>
      <c r="B8" s="759"/>
      <c r="C8" s="760"/>
      <c r="D8" s="194" t="s">
        <v>14</v>
      </c>
      <c r="E8" s="759"/>
      <c r="F8" s="760"/>
      <c r="G8" s="199"/>
      <c r="H8" s="199"/>
      <c r="I8" s="237"/>
    </row>
    <row r="9" spans="1:9" s="42" customFormat="1" ht="12" customHeight="1" thickBot="1">
      <c r="A9" s="291"/>
      <c r="B9" s="291"/>
      <c r="C9" s="291"/>
      <c r="D9" s="291"/>
      <c r="E9" s="291"/>
      <c r="F9" s="291"/>
      <c r="G9" s="199"/>
      <c r="H9" s="199"/>
    </row>
    <row r="10" spans="1:9" s="42" customFormat="1" ht="20.100000000000001" customHeight="1" thickTop="1" thickBot="1">
      <c r="A10" s="201" t="s">
        <v>2</v>
      </c>
      <c r="B10" s="115" t="s">
        <v>3</v>
      </c>
      <c r="C10" s="202" t="s">
        <v>4</v>
      </c>
      <c r="D10" s="201" t="s">
        <v>5</v>
      </c>
      <c r="E10" s="743" t="s">
        <v>7</v>
      </c>
      <c r="F10" s="744"/>
      <c r="G10" s="199"/>
      <c r="H10" s="288"/>
    </row>
    <row r="11" spans="1:9" s="42" customFormat="1" ht="20.100000000000001" customHeight="1" thickTop="1">
      <c r="A11" s="292" t="s">
        <v>121</v>
      </c>
      <c r="B11" s="119">
        <f>'Data Sheet'!B16</f>
        <v>0</v>
      </c>
      <c r="C11" s="293">
        <f>'FY22-23 FEE Worksheet'!K263</f>
        <v>1.7635564182631447</v>
      </c>
      <c r="D11" s="229" t="s">
        <v>26</v>
      </c>
      <c r="E11" s="739">
        <f>B11*C11</f>
        <v>0</v>
      </c>
      <c r="F11" s="739"/>
      <c r="G11" s="199"/>
      <c r="H11" s="825" t="s">
        <v>199</v>
      </c>
      <c r="I11" s="67"/>
    </row>
    <row r="12" spans="1:9" s="42" customFormat="1" ht="20.100000000000001" customHeight="1">
      <c r="A12" s="294" t="s">
        <v>16</v>
      </c>
      <c r="B12" s="226">
        <f>'Data Sheet'!B18</f>
        <v>0</v>
      </c>
      <c r="C12" s="293">
        <f>'FY22-23 FEE Worksheet'!K264</f>
        <v>2.3296362562241542</v>
      </c>
      <c r="D12" s="229" t="s">
        <v>26</v>
      </c>
      <c r="E12" s="835">
        <f>ROUND(+B12*C12,0)</f>
        <v>0</v>
      </c>
      <c r="F12" s="836"/>
      <c r="G12" s="199"/>
      <c r="H12" s="826"/>
      <c r="I12" s="71"/>
    </row>
    <row r="13" spans="1:9" s="42" customFormat="1" ht="20.100000000000001" customHeight="1">
      <c r="A13" s="294" t="s">
        <v>17</v>
      </c>
      <c r="B13" s="226">
        <f>'Data Sheet'!B22</f>
        <v>0</v>
      </c>
      <c r="C13" s="293">
        <f>'FY22-23 FEE Worksheet'!K265</f>
        <v>1.2954519368723099</v>
      </c>
      <c r="D13" s="229" t="s">
        <v>26</v>
      </c>
      <c r="E13" s="835">
        <f>ROUND(+B13*C13,0)</f>
        <v>0</v>
      </c>
      <c r="F13" s="836"/>
      <c r="G13" s="199"/>
      <c r="H13" s="826"/>
    </row>
    <row r="14" spans="1:9" s="42" customFormat="1" ht="20.100000000000001" customHeight="1">
      <c r="A14" s="294" t="s">
        <v>119</v>
      </c>
      <c r="B14" s="226">
        <f>'Data Sheet'!B20</f>
        <v>0</v>
      </c>
      <c r="C14" s="511">
        <f>C11</f>
        <v>1.7635564182631447</v>
      </c>
      <c r="D14" s="229" t="s">
        <v>26</v>
      </c>
      <c r="E14" s="835">
        <f>ROUND(+B14*C14,0)</f>
        <v>0</v>
      </c>
      <c r="F14" s="836"/>
      <c r="G14" s="199"/>
      <c r="H14" s="826"/>
    </row>
    <row r="15" spans="1:9" s="42" customFormat="1" ht="20.100000000000001" customHeight="1">
      <c r="A15" s="294" t="s">
        <v>322</v>
      </c>
      <c r="B15" s="226">
        <f>'Data Sheet'!B24</f>
        <v>0</v>
      </c>
      <c r="C15" s="293">
        <f>'FY22-23 FEE Worksheet'!K269</f>
        <v>1.9703932821335133</v>
      </c>
      <c r="D15" s="229" t="s">
        <v>27</v>
      </c>
      <c r="E15" s="835">
        <f>B15*C15</f>
        <v>0</v>
      </c>
      <c r="F15" s="836"/>
      <c r="G15" s="199"/>
      <c r="H15" s="826"/>
    </row>
    <row r="16" spans="1:9" s="42" customFormat="1" ht="20.100000000000001" customHeight="1">
      <c r="A16" s="294" t="s">
        <v>323</v>
      </c>
      <c r="B16" s="226">
        <f>'Data Sheet'!B27</f>
        <v>0</v>
      </c>
      <c r="C16" s="293">
        <f>'FY22-23 FEE Worksheet'!K270</f>
        <v>3.2223006160857453</v>
      </c>
      <c r="D16" s="229" t="s">
        <v>27</v>
      </c>
      <c r="E16" s="835">
        <f t="shared" ref="E16:E17" si="0">B16*C16</f>
        <v>0</v>
      </c>
      <c r="F16" s="836"/>
      <c r="G16" s="199"/>
      <c r="H16" s="826"/>
    </row>
    <row r="17" spans="1:8" s="42" customFormat="1" ht="20.100000000000001" customHeight="1" thickBot="1">
      <c r="A17" s="295" t="s">
        <v>324</v>
      </c>
      <c r="B17" s="208">
        <f>'Data Sheet'!B28+'Data Sheet'!B29</f>
        <v>0</v>
      </c>
      <c r="C17" s="296">
        <f>'FY22-23 FEE Worksheet'!K271</f>
        <v>1.3716549919824457</v>
      </c>
      <c r="D17" s="297" t="s">
        <v>27</v>
      </c>
      <c r="E17" s="837">
        <f t="shared" si="0"/>
        <v>0</v>
      </c>
      <c r="F17" s="838"/>
      <c r="G17" s="199"/>
      <c r="H17" s="827"/>
    </row>
    <row r="18" spans="1:8" s="42" customFormat="1" ht="20.100000000000001" customHeight="1" thickTop="1">
      <c r="A18" s="156" t="s">
        <v>325</v>
      </c>
      <c r="B18" s="218"/>
      <c r="C18" s="298"/>
      <c r="D18" s="218"/>
      <c r="E18" s="739">
        <f>SUM(E11:F14)</f>
        <v>0</v>
      </c>
      <c r="F18" s="739"/>
      <c r="G18" s="199"/>
      <c r="H18" s="289"/>
    </row>
    <row r="19" spans="1:8" s="42" customFormat="1" ht="20.100000000000001" customHeight="1">
      <c r="A19" s="156" t="s">
        <v>326</v>
      </c>
      <c r="B19" s="218"/>
      <c r="C19" s="298"/>
      <c r="D19" s="218"/>
      <c r="E19" s="738">
        <f>SUM(E15:F17)</f>
        <v>0</v>
      </c>
      <c r="F19" s="738"/>
      <c r="G19" s="199"/>
      <c r="H19" s="290"/>
    </row>
    <row r="20" spans="1:8" s="42" customFormat="1" ht="20.100000000000001" customHeight="1" thickBot="1">
      <c r="A20" s="156" t="s">
        <v>320</v>
      </c>
      <c r="B20" s="124"/>
      <c r="C20" s="293"/>
      <c r="D20" s="229"/>
      <c r="E20" s="839">
        <f>IF((B7="N"),0,(-MIN(E18:E19)*0.15))</f>
        <v>0</v>
      </c>
      <c r="F20" s="839"/>
      <c r="G20" s="199"/>
      <c r="H20" s="289"/>
    </row>
    <row r="21" spans="1:8" s="42" customFormat="1" ht="20.100000000000001" customHeight="1" thickTop="1" thickBot="1">
      <c r="A21" s="763" t="s">
        <v>188</v>
      </c>
      <c r="B21" s="764"/>
      <c r="C21" s="764"/>
      <c r="D21" s="824"/>
      <c r="E21" s="736">
        <f>SUM(E18:F20)</f>
        <v>0</v>
      </c>
      <c r="F21" s="737"/>
      <c r="G21" s="199"/>
      <c r="H21" s="199"/>
    </row>
    <row r="22" spans="1:8" s="42" customFormat="1" ht="16.5" thickTop="1">
      <c r="A22" s="514"/>
      <c r="B22" s="199"/>
      <c r="C22" s="199"/>
      <c r="D22" s="199"/>
      <c r="E22" s="199"/>
      <c r="F22" s="199"/>
      <c r="G22" s="199"/>
      <c r="H22" s="199"/>
    </row>
    <row r="23" spans="1:8" s="42" customFormat="1" ht="16.5" hidden="1" thickBot="1">
      <c r="A23" s="724" t="s">
        <v>278</v>
      </c>
      <c r="B23" s="725"/>
      <c r="C23" s="725"/>
      <c r="D23" s="725"/>
      <c r="E23" s="725"/>
      <c r="F23" s="726"/>
      <c r="G23" s="199"/>
      <c r="H23" s="199"/>
    </row>
    <row r="24" spans="1:8" s="42" customFormat="1" ht="20.100000000000001" hidden="1" customHeight="1">
      <c r="A24" s="199" t="s">
        <v>283</v>
      </c>
      <c r="B24" s="212" t="s">
        <v>279</v>
      </c>
      <c r="C24" s="212" t="s">
        <v>280</v>
      </c>
      <c r="D24" s="199"/>
      <c r="E24" s="199"/>
      <c r="F24" s="199"/>
      <c r="G24" s="199"/>
      <c r="H24" s="199"/>
    </row>
    <row r="25" spans="1:8" s="42" customFormat="1" ht="20.100000000000001" hidden="1" customHeight="1">
      <c r="A25" s="199" t="s">
        <v>282</v>
      </c>
      <c r="B25" s="212" t="s">
        <v>281</v>
      </c>
      <c r="C25" s="212"/>
      <c r="D25" s="199"/>
      <c r="E25" s="199"/>
      <c r="F25" s="199"/>
      <c r="G25" s="199"/>
      <c r="H25" s="199"/>
    </row>
    <row r="26" spans="1:8" hidden="1">
      <c r="A26" s="210"/>
      <c r="B26" s="210"/>
      <c r="C26" s="210"/>
      <c r="D26" s="210"/>
      <c r="E26" s="210"/>
      <c r="F26" s="210"/>
      <c r="G26" s="210"/>
      <c r="H26" s="210"/>
    </row>
    <row r="27" spans="1:8" hidden="1">
      <c r="A27" s="299" t="s">
        <v>315</v>
      </c>
      <c r="B27" s="299"/>
      <c r="C27" s="299"/>
      <c r="D27" s="299"/>
      <c r="E27" s="299"/>
      <c r="F27" s="299"/>
      <c r="G27" s="210"/>
      <c r="H27" s="210"/>
    </row>
    <row r="28" spans="1:8" ht="26.25" hidden="1" customHeight="1">
      <c r="A28" s="834" t="s">
        <v>327</v>
      </c>
      <c r="B28" s="834"/>
      <c r="C28" s="834"/>
      <c r="D28" s="834"/>
      <c r="E28" s="834"/>
      <c r="F28" s="834"/>
      <c r="G28" s="210"/>
      <c r="H28" s="210"/>
    </row>
    <row r="29" spans="1:8" ht="38.25" hidden="1" customHeight="1">
      <c r="A29" s="833" t="s">
        <v>321</v>
      </c>
      <c r="B29" s="833"/>
      <c r="C29" s="833"/>
      <c r="D29" s="833"/>
      <c r="E29" s="833"/>
      <c r="F29" s="833"/>
      <c r="G29" s="210"/>
      <c r="H29" s="210"/>
    </row>
    <row r="30" spans="1:8" hidden="1">
      <c r="A30" s="299" t="s">
        <v>391</v>
      </c>
      <c r="B30" s="299"/>
      <c r="C30" s="299"/>
      <c r="D30" s="299"/>
      <c r="E30" s="299"/>
      <c r="F30" s="299"/>
      <c r="G30" s="210"/>
      <c r="H30" s="210"/>
    </row>
    <row r="31" spans="1:8" hidden="1">
      <c r="A31" s="299" t="s">
        <v>316</v>
      </c>
      <c r="B31" s="299"/>
      <c r="C31" s="299"/>
      <c r="D31" s="299"/>
      <c r="E31" s="299"/>
      <c r="F31" s="299"/>
      <c r="G31" s="210"/>
      <c r="H31" s="210"/>
    </row>
    <row r="32" spans="1:8" hidden="1">
      <c r="A32" s="299" t="s">
        <v>317</v>
      </c>
      <c r="B32" s="299"/>
      <c r="C32" s="299"/>
      <c r="D32" s="299"/>
      <c r="E32" s="299"/>
      <c r="F32" s="299"/>
      <c r="G32" s="210"/>
      <c r="H32" s="210"/>
    </row>
    <row r="33" spans="1:8" hidden="1">
      <c r="A33" s="299" t="s">
        <v>318</v>
      </c>
      <c r="B33" s="299"/>
      <c r="C33" s="299"/>
      <c r="D33" s="299"/>
      <c r="E33" s="299"/>
      <c r="F33" s="299"/>
      <c r="G33" s="210"/>
      <c r="H33" s="210"/>
    </row>
    <row r="43" spans="1:8">
      <c r="H43" s="238"/>
    </row>
    <row r="44" spans="1:8">
      <c r="H44" s="238"/>
    </row>
    <row r="45" spans="1:8">
      <c r="H45" s="238"/>
    </row>
    <row r="46" spans="1:8">
      <c r="H46" s="238"/>
    </row>
    <row r="47" spans="1:8">
      <c r="H47" s="238"/>
    </row>
    <row r="48" spans="1:8">
      <c r="H48" s="238"/>
    </row>
    <row r="49" spans="8:8">
      <c r="H49" s="238"/>
    </row>
    <row r="50" spans="8:8">
      <c r="H50" s="238"/>
    </row>
    <row r="51" spans="8:8">
      <c r="H51" s="238"/>
    </row>
    <row r="52" spans="8:8">
      <c r="H52" s="238"/>
    </row>
    <row r="53" spans="8:8">
      <c r="H53" s="238"/>
    </row>
  </sheetData>
  <sheetProtection algorithmName="SHA-512" hashValue="5xEFxVxjaupt9C3BbLUadbQzLNVOyBbAtldAQpCqnBiClsISUlpmvXW2fsQkcFqiTdZiHoSBwX79ykCQaO1CLg==" saltValue="dehNtGduF55OIzNgws5kWg==" spinCount="100000" sheet="1" objects="1" scenarios="1"/>
  <mergeCells count="25">
    <mergeCell ref="E10:F10"/>
    <mergeCell ref="B5:C5"/>
    <mergeCell ref="B6:C6"/>
    <mergeCell ref="A1:F1"/>
    <mergeCell ref="A2:F2"/>
    <mergeCell ref="B8:C8"/>
    <mergeCell ref="E8:F8"/>
    <mergeCell ref="B3:F3"/>
    <mergeCell ref="B4:F4"/>
    <mergeCell ref="A29:F29"/>
    <mergeCell ref="A28:F28"/>
    <mergeCell ref="H11:H17"/>
    <mergeCell ref="A23:F23"/>
    <mergeCell ref="A21:D21"/>
    <mergeCell ref="E21:F21"/>
    <mergeCell ref="E11:F11"/>
    <mergeCell ref="E12:F12"/>
    <mergeCell ref="E13:F13"/>
    <mergeCell ref="E14:F14"/>
    <mergeCell ref="E15:F15"/>
    <mergeCell ref="E16:F16"/>
    <mergeCell ref="E17:F17"/>
    <mergeCell ref="E18:F18"/>
    <mergeCell ref="E19:F19"/>
    <mergeCell ref="E20:F20"/>
  </mergeCells>
  <conditionalFormatting sqref="E11:E17">
    <cfRule type="cellIs" dxfId="2" priority="3" stopIfTrue="1" operator="equal">
      <formula>0</formula>
    </cfRule>
  </conditionalFormatting>
  <pageMargins left="0.7" right="0.7" top="0.75" bottom="0.75" header="0.3" footer="0.3"/>
  <pageSetup scale="59" fitToHeight="0" orientation="portrait" r:id="rId1"/>
  <headerFooter>
    <oddHeader>&amp;RDocument Prepared on &amp;D</oddHeader>
    <oddFooter>&amp;L&amp;F&amp;R&amp;P</oddFooter>
  </headerFooter>
  <ignoredErrors>
    <ignoredError sqref="B3:B6" unlockedFormula="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C85F0E-2946-46FE-8D60-6C16F797DDB1}">
  <sheetPr>
    <tabColor theme="2" tint="-0.249977111117893"/>
    <pageSetUpPr fitToPage="1"/>
  </sheetPr>
  <dimension ref="A1:G19"/>
  <sheetViews>
    <sheetView zoomScaleNormal="100" workbookViewId="0">
      <selection activeCell="A3" sqref="A3"/>
    </sheetView>
  </sheetViews>
  <sheetFormatPr defaultColWidth="9.33203125" defaultRowHeight="12.75"/>
  <cols>
    <col min="1" max="1" width="42.5" style="4" customWidth="1"/>
    <col min="2" max="2" width="18.33203125" style="4" customWidth="1"/>
    <col min="3" max="3" width="16.33203125" style="4" customWidth="1"/>
    <col min="4" max="4" width="18.1640625" style="4" customWidth="1"/>
    <col min="5" max="5" width="30.6640625" style="4" customWidth="1"/>
    <col min="6" max="6" width="16.5" style="4" customWidth="1"/>
    <col min="7" max="16384" width="9.33203125" style="4"/>
  </cols>
  <sheetData>
    <row r="1" spans="1:7" ht="50.1" customHeight="1">
      <c r="A1" s="841" t="s">
        <v>177</v>
      </c>
      <c r="B1" s="842"/>
      <c r="C1" s="842"/>
      <c r="D1" s="842"/>
      <c r="E1" s="843"/>
    </row>
    <row r="2" spans="1:7" ht="50.1" customHeight="1" thickBot="1">
      <c r="A2" s="844" t="s">
        <v>164</v>
      </c>
      <c r="B2" s="845"/>
      <c r="C2" s="845"/>
      <c r="D2" s="845"/>
      <c r="E2" s="846"/>
      <c r="G2" s="24"/>
    </row>
    <row r="3" spans="1:7" ht="20.100000000000001" customHeight="1">
      <c r="A3" s="310" t="s">
        <v>89</v>
      </c>
      <c r="B3" s="848">
        <f>'Data Sheet'!B5</f>
        <v>0</v>
      </c>
      <c r="C3" s="849"/>
      <c r="D3" s="849"/>
      <c r="E3" s="850"/>
      <c r="F3" s="6"/>
    </row>
    <row r="4" spans="1:7" ht="20.100000000000001" customHeight="1">
      <c r="A4" s="311" t="s">
        <v>90</v>
      </c>
      <c r="B4" s="851">
        <f>'Data Sheet'!B6</f>
        <v>0</v>
      </c>
      <c r="C4" s="852"/>
      <c r="D4" s="852"/>
      <c r="E4" s="853"/>
    </row>
    <row r="5" spans="1:7" ht="20.100000000000001" customHeight="1">
      <c r="A5" s="311" t="s">
        <v>91</v>
      </c>
      <c r="B5" s="851">
        <f>'Data Sheet'!B7</f>
        <v>0</v>
      </c>
      <c r="C5" s="852"/>
      <c r="D5" s="7"/>
      <c r="E5" s="8"/>
    </row>
    <row r="6" spans="1:7" ht="20.100000000000001" customHeight="1" thickBot="1">
      <c r="A6" s="311" t="s">
        <v>92</v>
      </c>
      <c r="B6" s="857">
        <f>'Data Sheet'!B9</f>
        <v>0</v>
      </c>
      <c r="C6" s="858"/>
      <c r="D6" s="9"/>
      <c r="E6" s="10"/>
    </row>
    <row r="7" spans="1:7" ht="20.100000000000001" customHeight="1" thickBot="1">
      <c r="A7" s="312" t="s">
        <v>97</v>
      </c>
      <c r="B7" s="859"/>
      <c r="C7" s="860"/>
      <c r="D7" s="314" t="s">
        <v>14</v>
      </c>
      <c r="E7" s="313"/>
    </row>
    <row r="8" spans="1:7" ht="10.5" customHeight="1" thickBot="1">
      <c r="A8" s="11"/>
      <c r="B8" s="11"/>
      <c r="C8" s="11"/>
      <c r="D8" s="11"/>
      <c r="E8" s="11"/>
      <c r="F8" s="6"/>
    </row>
    <row r="9" spans="1:7" ht="20.100000000000001" customHeight="1" thickTop="1" thickBot="1">
      <c r="A9" s="12" t="s">
        <v>2</v>
      </c>
      <c r="B9" s="13" t="s">
        <v>3</v>
      </c>
      <c r="C9" s="14" t="s">
        <v>4</v>
      </c>
      <c r="D9" s="12" t="s">
        <v>98</v>
      </c>
      <c r="E9" s="13" t="s">
        <v>7</v>
      </c>
    </row>
    <row r="10" spans="1:7" ht="20.100000000000001" customHeight="1" thickTop="1">
      <c r="A10" s="15" t="s">
        <v>42</v>
      </c>
      <c r="B10" s="19">
        <f>'Data Sheet'!B16+'Data Sheet'!B18+'Data Sheet'!B22</f>
        <v>0</v>
      </c>
      <c r="C10" s="572">
        <v>3.48</v>
      </c>
      <c r="D10" s="16" t="s">
        <v>67</v>
      </c>
      <c r="E10" s="22">
        <f>B10*C10</f>
        <v>0</v>
      </c>
    </row>
    <row r="11" spans="1:7" ht="20.100000000000001" customHeight="1">
      <c r="A11" s="15" t="s">
        <v>0</v>
      </c>
      <c r="B11" s="17">
        <f>'Data Sheet'!B24+'Data Sheet'!B25+'Data Sheet'!B27+'Data Sheet'!B28+'Data Sheet'!B29+'Data Sheet'!B30</f>
        <v>0</v>
      </c>
      <c r="C11" s="572">
        <v>0.56000000000000005</v>
      </c>
      <c r="D11" s="16" t="s">
        <v>67</v>
      </c>
      <c r="E11" s="21">
        <f>ROUND(+B11*C11,0)</f>
        <v>0</v>
      </c>
      <c r="F11" s="5"/>
    </row>
    <row r="12" spans="1:7" ht="20.100000000000001" customHeight="1" thickBot="1">
      <c r="A12" s="23" t="s">
        <v>68</v>
      </c>
      <c r="B12" s="18">
        <f>'Data Sheet'!B26</f>
        <v>0</v>
      </c>
      <c r="C12" s="573">
        <v>0.27</v>
      </c>
      <c r="D12" s="20" t="s">
        <v>67</v>
      </c>
      <c r="E12" s="25">
        <f>ROUND(+B12*C12,0)</f>
        <v>0</v>
      </c>
      <c r="F12" s="5"/>
    </row>
    <row r="13" spans="1:7" ht="20.100000000000001" customHeight="1" thickTop="1" thickBot="1">
      <c r="A13" s="854" t="s">
        <v>189</v>
      </c>
      <c r="B13" s="855"/>
      <c r="C13" s="855"/>
      <c r="D13" s="856"/>
      <c r="E13" s="26">
        <f>ROUND(SUM(E10:E12),0)</f>
        <v>0</v>
      </c>
      <c r="F13" s="5"/>
    </row>
    <row r="14" spans="1:7" ht="18.75" thickTop="1">
      <c r="A14" s="515"/>
      <c r="B14" s="27"/>
      <c r="C14" s="28"/>
      <c r="D14" s="29"/>
      <c r="E14" s="30"/>
      <c r="F14" s="5"/>
    </row>
    <row r="15" spans="1:7" s="32" customFormat="1" ht="24.95" hidden="1" customHeight="1">
      <c r="A15" s="840" t="s">
        <v>69</v>
      </c>
      <c r="B15" s="840"/>
      <c r="C15" s="840"/>
      <c r="D15" s="840"/>
      <c r="E15" s="31"/>
    </row>
    <row r="16" spans="1:7" ht="24.95" hidden="1" customHeight="1">
      <c r="A16" s="840" t="s">
        <v>70</v>
      </c>
      <c r="B16" s="840"/>
      <c r="C16" s="840"/>
      <c r="D16" s="840"/>
      <c r="E16" s="840"/>
    </row>
    <row r="17" spans="1:5" ht="29.25" hidden="1" customHeight="1">
      <c r="A17" s="847" t="s">
        <v>71</v>
      </c>
      <c r="B17" s="847"/>
      <c r="C17" s="847"/>
      <c r="D17" s="847"/>
      <c r="E17" s="847"/>
    </row>
    <row r="18" spans="1:5" ht="31.5" hidden="1" customHeight="1">
      <c r="A18" s="847" t="s">
        <v>72</v>
      </c>
      <c r="B18" s="847"/>
      <c r="C18" s="847"/>
      <c r="D18" s="847"/>
      <c r="E18" s="847"/>
    </row>
    <row r="19" spans="1:5" ht="20.100000000000001" customHeight="1"/>
  </sheetData>
  <sheetProtection algorithmName="SHA-512" hashValue="MDLCPbjou2XQwRh+Me+3C5pWWWe+33lS6K08lUPxMYzLUPe4ecYKfTv1jcn2B53sMJTWLTdz0P8Z8+/jWVRQBw==" saltValue="Yd9WuH2EwFDoLosl7uERGw==" spinCount="100000" sheet="1" objects="1" scenarios="1"/>
  <mergeCells count="12">
    <mergeCell ref="A16:E16"/>
    <mergeCell ref="A1:E1"/>
    <mergeCell ref="A2:E2"/>
    <mergeCell ref="A17:E17"/>
    <mergeCell ref="A18:E18"/>
    <mergeCell ref="B3:E3"/>
    <mergeCell ref="B4:E4"/>
    <mergeCell ref="A13:D13"/>
    <mergeCell ref="A15:D15"/>
    <mergeCell ref="B5:C5"/>
    <mergeCell ref="B6:C6"/>
    <mergeCell ref="B7:C7"/>
  </mergeCells>
  <conditionalFormatting sqref="E12">
    <cfRule type="cellIs" dxfId="1" priority="3" stopIfTrue="1" operator="equal">
      <formula>0</formula>
    </cfRule>
  </conditionalFormatting>
  <conditionalFormatting sqref="E10:E11">
    <cfRule type="cellIs" dxfId="0" priority="2" stopIfTrue="1" operator="equal">
      <formula>0</formula>
    </cfRule>
  </conditionalFormatting>
  <pageMargins left="0.7" right="0.7" top="0.75" bottom="0.75" header="0.3" footer="0.3"/>
  <pageSetup scale="80" fitToHeight="0" orientation="portrait" r:id="rId1"/>
  <headerFooter>
    <oddHeader>&amp;RDocument Prepared on &amp;D</oddHeader>
    <oddFooter>&amp;L&amp;F&amp;R&amp;P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698A40-8368-4174-9451-2EAD7235119E}">
  <sheetPr>
    <tabColor rgb="FFFFC000"/>
    <pageSetUpPr fitToPage="1"/>
  </sheetPr>
  <dimension ref="A1:M51"/>
  <sheetViews>
    <sheetView workbookViewId="0">
      <selection activeCell="T11" sqref="T11"/>
    </sheetView>
  </sheetViews>
  <sheetFormatPr defaultColWidth="9.33203125" defaultRowHeight="12.75"/>
  <cols>
    <col min="1" max="1" width="17.6640625" style="1" customWidth="1"/>
    <col min="2" max="2" width="10.6640625" style="1" customWidth="1"/>
    <col min="3" max="3" width="11.1640625" style="1" customWidth="1"/>
    <col min="4" max="4" width="10.33203125" style="1" bestFit="1" customWidth="1"/>
    <col min="5" max="5" width="15.1640625" style="1" bestFit="1" customWidth="1"/>
    <col min="6" max="6" width="18.6640625" style="1" customWidth="1"/>
    <col min="7" max="7" width="3.33203125" style="1" customWidth="1"/>
    <col min="8" max="8" width="15.83203125" style="1" customWidth="1"/>
    <col min="9" max="9" width="10.83203125" style="1" customWidth="1"/>
    <col min="10" max="10" width="10.6640625" style="1" customWidth="1"/>
    <col min="11" max="12" width="11.83203125" style="1" customWidth="1"/>
    <col min="13" max="13" width="20" style="1" customWidth="1"/>
    <col min="14" max="16384" width="9.33203125" style="1"/>
  </cols>
  <sheetData>
    <row r="1" spans="1:13" ht="20.100000000000001" customHeight="1">
      <c r="A1" s="861" t="s">
        <v>9</v>
      </c>
      <c r="B1" s="861"/>
      <c r="C1" s="861"/>
      <c r="D1" s="861"/>
      <c r="E1" s="861"/>
      <c r="F1" s="861"/>
      <c r="G1" s="861"/>
      <c r="H1" s="861"/>
      <c r="I1" s="861"/>
      <c r="J1" s="861"/>
      <c r="K1" s="861"/>
      <c r="L1" s="861"/>
      <c r="M1" s="861"/>
    </row>
    <row r="2" spans="1:13" ht="20.100000000000001" customHeight="1">
      <c r="A2" s="876" t="s">
        <v>197</v>
      </c>
      <c r="B2" s="876"/>
      <c r="C2" s="876"/>
      <c r="D2" s="876"/>
      <c r="E2" s="876"/>
      <c r="F2" s="876"/>
      <c r="G2" s="876"/>
      <c r="H2" s="876"/>
      <c r="I2" s="876"/>
      <c r="J2" s="876"/>
      <c r="K2" s="876"/>
      <c r="L2" s="876"/>
      <c r="M2" s="876"/>
    </row>
    <row r="3" spans="1:13" ht="20.100000000000001" customHeight="1" thickBot="1">
      <c r="A3" s="877"/>
      <c r="B3" s="877"/>
      <c r="C3" s="877"/>
      <c r="D3" s="877"/>
      <c r="E3" s="877"/>
      <c r="F3" s="877"/>
      <c r="G3" s="877"/>
      <c r="H3" s="877"/>
      <c r="I3" s="877"/>
      <c r="J3" s="877"/>
      <c r="K3" s="877"/>
      <c r="L3" s="877"/>
      <c r="M3" s="877"/>
    </row>
    <row r="4" spans="1:13" s="2" customFormat="1" ht="20.100000000000001" customHeight="1">
      <c r="A4" s="878" t="s">
        <v>100</v>
      </c>
      <c r="B4" s="879"/>
      <c r="C4" s="880"/>
      <c r="D4" s="864">
        <f>'Data Sheet'!B8</f>
        <v>0</v>
      </c>
      <c r="E4" s="865"/>
      <c r="F4" s="865"/>
      <c r="G4" s="865"/>
      <c r="H4" s="865"/>
      <c r="I4" s="866"/>
      <c r="J4" s="884"/>
      <c r="K4" s="885"/>
      <c r="L4" s="885"/>
      <c r="M4" s="886"/>
    </row>
    <row r="5" spans="1:13" s="2" customFormat="1" ht="20.100000000000001" customHeight="1">
      <c r="A5" s="881" t="s">
        <v>90</v>
      </c>
      <c r="B5" s="882"/>
      <c r="C5" s="883"/>
      <c r="D5" s="867">
        <f>'Data Sheet'!B6</f>
        <v>0</v>
      </c>
      <c r="E5" s="868"/>
      <c r="F5" s="868"/>
      <c r="G5" s="868"/>
      <c r="H5" s="868"/>
      <c r="I5" s="869"/>
      <c r="J5" s="887"/>
      <c r="K5" s="888"/>
      <c r="L5" s="888"/>
      <c r="M5" s="889"/>
    </row>
    <row r="6" spans="1:13" s="2" customFormat="1" ht="20.100000000000001" customHeight="1">
      <c r="A6" s="881" t="s">
        <v>89</v>
      </c>
      <c r="B6" s="882"/>
      <c r="C6" s="883"/>
      <c r="D6" s="867">
        <f>'Data Sheet'!B5</f>
        <v>0</v>
      </c>
      <c r="E6" s="868"/>
      <c r="F6" s="868"/>
      <c r="G6" s="868"/>
      <c r="H6" s="868"/>
      <c r="I6" s="869"/>
      <c r="J6" s="887"/>
      <c r="K6" s="888"/>
      <c r="L6" s="888"/>
      <c r="M6" s="889"/>
    </row>
    <row r="7" spans="1:13" s="2" customFormat="1" ht="20.100000000000001" customHeight="1">
      <c r="A7" s="881" t="s">
        <v>196</v>
      </c>
      <c r="B7" s="882"/>
      <c r="C7" s="883"/>
      <c r="D7" s="867">
        <f>'Data Sheet'!B7</f>
        <v>0</v>
      </c>
      <c r="E7" s="868"/>
      <c r="F7" s="868"/>
      <c r="G7" s="868"/>
      <c r="H7" s="868"/>
      <c r="I7" s="869"/>
      <c r="J7" s="887"/>
      <c r="K7" s="888"/>
      <c r="L7" s="888"/>
      <c r="M7" s="889"/>
    </row>
    <row r="8" spans="1:13" s="2" customFormat="1" ht="20.100000000000001" customHeight="1">
      <c r="A8" s="881" t="s">
        <v>195</v>
      </c>
      <c r="B8" s="882"/>
      <c r="C8" s="883"/>
      <c r="D8" s="867">
        <f>'Data Sheet'!B11</f>
        <v>0</v>
      </c>
      <c r="E8" s="868"/>
      <c r="F8" s="868"/>
      <c r="G8" s="868"/>
      <c r="H8" s="868"/>
      <c r="I8" s="869"/>
      <c r="J8" s="887"/>
      <c r="K8" s="888"/>
      <c r="L8" s="888"/>
      <c r="M8" s="889"/>
    </row>
    <row r="9" spans="1:13" s="2" customFormat="1" ht="20.100000000000001" customHeight="1" thickBot="1">
      <c r="A9" s="881" t="s">
        <v>194</v>
      </c>
      <c r="B9" s="882"/>
      <c r="C9" s="883"/>
      <c r="D9" s="867"/>
      <c r="E9" s="868"/>
      <c r="F9" s="868"/>
      <c r="G9" s="868"/>
      <c r="H9" s="868"/>
      <c r="I9" s="869"/>
      <c r="J9" s="887"/>
      <c r="K9" s="888"/>
      <c r="L9" s="888"/>
      <c r="M9" s="889"/>
    </row>
    <row r="10" spans="1:13" s="2" customFormat="1" ht="20.100000000000001" customHeight="1">
      <c r="A10" s="881" t="s">
        <v>193</v>
      </c>
      <c r="B10" s="882"/>
      <c r="C10" s="883"/>
      <c r="D10" s="870"/>
      <c r="E10" s="871"/>
      <c r="F10" s="871"/>
      <c r="G10" s="871"/>
      <c r="H10" s="871"/>
      <c r="I10" s="872"/>
      <c r="J10" s="887"/>
      <c r="K10" s="888"/>
      <c r="L10" s="888"/>
      <c r="M10" s="889"/>
    </row>
    <row r="11" spans="1:13" s="2" customFormat="1" ht="20.100000000000001" customHeight="1" thickBot="1">
      <c r="A11" s="881" t="s">
        <v>192</v>
      </c>
      <c r="B11" s="882"/>
      <c r="C11" s="883"/>
      <c r="D11" s="873"/>
      <c r="E11" s="874"/>
      <c r="F11" s="874"/>
      <c r="G11" s="874"/>
      <c r="H11" s="874"/>
      <c r="I11" s="875"/>
      <c r="J11" s="887"/>
      <c r="K11" s="888"/>
      <c r="L11" s="888"/>
      <c r="M11" s="889"/>
    </row>
    <row r="12" spans="1:13" s="2" customFormat="1" ht="20.100000000000001" customHeight="1" thickBot="1">
      <c r="A12" s="890"/>
      <c r="B12" s="891"/>
      <c r="C12" s="891"/>
      <c r="D12" s="891"/>
      <c r="E12" s="891"/>
      <c r="F12" s="891"/>
      <c r="G12" s="891"/>
      <c r="H12" s="891"/>
      <c r="I12" s="891"/>
      <c r="J12" s="42"/>
      <c r="K12" s="579" t="s">
        <v>191</v>
      </c>
      <c r="L12" s="775"/>
      <c r="M12" s="777"/>
    </row>
    <row r="13" spans="1:13" s="2" customFormat="1" ht="20.100000000000001" customHeight="1" thickBot="1">
      <c r="A13" s="580"/>
      <c r="B13" s="581"/>
      <c r="C13" s="581"/>
      <c r="D13" s="582" t="s">
        <v>190</v>
      </c>
      <c r="E13" s="862">
        <f>M47</f>
        <v>0</v>
      </c>
      <c r="F13" s="863"/>
      <c r="G13" s="892"/>
      <c r="H13" s="893"/>
      <c r="I13" s="893"/>
      <c r="J13" s="893"/>
      <c r="K13" s="583" t="s">
        <v>14</v>
      </c>
      <c r="L13" s="775"/>
      <c r="M13" s="777"/>
    </row>
    <row r="14" spans="1:13" s="2" customFormat="1" ht="11.25" customHeight="1" thickBot="1">
      <c r="A14" s="42"/>
      <c r="B14" s="42"/>
      <c r="C14" s="42"/>
      <c r="D14" s="42"/>
      <c r="E14" s="42"/>
      <c r="F14" s="584"/>
      <c r="G14" s="42"/>
      <c r="H14" s="42"/>
      <c r="I14" s="42"/>
      <c r="J14" s="42"/>
      <c r="K14" s="42"/>
      <c r="L14" s="42"/>
      <c r="M14" s="42"/>
    </row>
    <row r="15" spans="1:13" s="2" customFormat="1" ht="33" thickTop="1" thickBot="1">
      <c r="A15" s="585" t="s">
        <v>30</v>
      </c>
      <c r="B15" s="586" t="s">
        <v>31</v>
      </c>
      <c r="C15" s="586" t="s">
        <v>32</v>
      </c>
      <c r="D15" s="587" t="s">
        <v>33</v>
      </c>
      <c r="E15" s="585" t="s">
        <v>34</v>
      </c>
      <c r="F15" s="588" t="s">
        <v>7</v>
      </c>
      <c r="G15" s="42"/>
      <c r="H15" s="585" t="s">
        <v>30</v>
      </c>
      <c r="I15" s="586" t="s">
        <v>31</v>
      </c>
      <c r="J15" s="586" t="s">
        <v>32</v>
      </c>
      <c r="K15" s="589" t="s">
        <v>33</v>
      </c>
      <c r="L15" s="585" t="s">
        <v>34</v>
      </c>
      <c r="M15" s="588" t="s">
        <v>7</v>
      </c>
    </row>
    <row r="16" spans="1:13" s="2" customFormat="1" ht="20.100000000000001" customHeight="1" thickTop="1">
      <c r="A16" s="590" t="s">
        <v>35</v>
      </c>
      <c r="B16" s="591"/>
      <c r="C16" s="592" t="s">
        <v>36</v>
      </c>
      <c r="D16" s="593" t="s">
        <v>36</v>
      </c>
      <c r="E16" s="594">
        <v>2000</v>
      </c>
      <c r="F16" s="595">
        <f>B16*E16</f>
        <v>0</v>
      </c>
      <c r="G16" s="596"/>
      <c r="H16" s="597">
        <v>2500</v>
      </c>
      <c r="I16" s="591"/>
      <c r="J16" s="591"/>
      <c r="K16" s="598">
        <f>'FY22-23 Inclusionary Fee'!I38</f>
        <v>5.28</v>
      </c>
      <c r="L16" s="599" t="s">
        <v>36</v>
      </c>
      <c r="M16" s="600">
        <f t="shared" ref="M16:M46" si="0">I16*J16*K16</f>
        <v>0</v>
      </c>
    </row>
    <row r="17" spans="1:13" s="2" customFormat="1" ht="20.100000000000001" customHeight="1">
      <c r="A17" s="597">
        <v>1000</v>
      </c>
      <c r="B17" s="601"/>
      <c r="C17" s="601"/>
      <c r="D17" s="602">
        <f>'FY22-23 Inclusionary Fee'!I8</f>
        <v>4.3099999999999996</v>
      </c>
      <c r="E17" s="599" t="s">
        <v>36</v>
      </c>
      <c r="F17" s="600">
        <f t="shared" ref="F17:F46" si="1">B17*C17*D17</f>
        <v>0</v>
      </c>
      <c r="G17" s="596"/>
      <c r="H17" s="597">
        <v>2550</v>
      </c>
      <c r="I17" s="601"/>
      <c r="J17" s="601"/>
      <c r="K17" s="598">
        <f>'FY22-23 Inclusionary Fee'!I39</f>
        <v>5.32</v>
      </c>
      <c r="L17" s="599" t="s">
        <v>36</v>
      </c>
      <c r="M17" s="600">
        <f t="shared" si="0"/>
        <v>0</v>
      </c>
    </row>
    <row r="18" spans="1:13" s="2" customFormat="1" ht="20.100000000000001" customHeight="1">
      <c r="A18" s="597">
        <v>1050</v>
      </c>
      <c r="B18" s="601"/>
      <c r="C18" s="601"/>
      <c r="D18" s="602">
        <f>'FY22-23 Inclusionary Fee'!I9</f>
        <v>4.3499999999999996</v>
      </c>
      <c r="E18" s="599" t="s">
        <v>36</v>
      </c>
      <c r="F18" s="600">
        <f t="shared" si="1"/>
        <v>0</v>
      </c>
      <c r="G18" s="596"/>
      <c r="H18" s="597">
        <v>2600</v>
      </c>
      <c r="I18" s="601"/>
      <c r="J18" s="601"/>
      <c r="K18" s="598">
        <f>'FY22-23 Inclusionary Fee'!I40</f>
        <v>5.34</v>
      </c>
      <c r="L18" s="599" t="s">
        <v>36</v>
      </c>
      <c r="M18" s="600">
        <f t="shared" si="0"/>
        <v>0</v>
      </c>
    </row>
    <row r="19" spans="1:13" s="2" customFormat="1" ht="20.100000000000001" customHeight="1">
      <c r="A19" s="597">
        <v>1100</v>
      </c>
      <c r="B19" s="601"/>
      <c r="C19" s="601"/>
      <c r="D19" s="602">
        <f>'FY22-23 Inclusionary Fee'!I10</f>
        <v>4.37</v>
      </c>
      <c r="E19" s="599" t="s">
        <v>36</v>
      </c>
      <c r="F19" s="600">
        <f t="shared" si="1"/>
        <v>0</v>
      </c>
      <c r="G19" s="596"/>
      <c r="H19" s="597">
        <v>2650</v>
      </c>
      <c r="I19" s="601"/>
      <c r="J19" s="601"/>
      <c r="K19" s="598">
        <f>'FY22-23 Inclusionary Fee'!I41</f>
        <v>5.39</v>
      </c>
      <c r="L19" s="599" t="s">
        <v>36</v>
      </c>
      <c r="M19" s="600">
        <f t="shared" si="0"/>
        <v>0</v>
      </c>
    </row>
    <row r="20" spans="1:13" s="2" customFormat="1" ht="20.100000000000001" customHeight="1">
      <c r="A20" s="597">
        <v>1150</v>
      </c>
      <c r="B20" s="601"/>
      <c r="C20" s="601"/>
      <c r="D20" s="602">
        <f>'FY22-23 Inclusionary Fee'!I11</f>
        <v>4.42</v>
      </c>
      <c r="E20" s="599" t="s">
        <v>36</v>
      </c>
      <c r="F20" s="600">
        <f t="shared" si="1"/>
        <v>0</v>
      </c>
      <c r="G20" s="596"/>
      <c r="H20" s="597">
        <v>2700</v>
      </c>
      <c r="I20" s="601"/>
      <c r="J20" s="601"/>
      <c r="K20" s="598">
        <f>'FY22-23 Inclusionary Fee'!I42</f>
        <v>5.41</v>
      </c>
      <c r="L20" s="599" t="s">
        <v>36</v>
      </c>
      <c r="M20" s="600">
        <f t="shared" si="0"/>
        <v>0</v>
      </c>
    </row>
    <row r="21" spans="1:13" s="2" customFormat="1" ht="20.100000000000001" customHeight="1">
      <c r="A21" s="597">
        <v>1200</v>
      </c>
      <c r="B21" s="601"/>
      <c r="C21" s="601"/>
      <c r="D21" s="602">
        <f>'FY22-23 Inclusionary Fee'!I12</f>
        <v>4.4400000000000004</v>
      </c>
      <c r="E21" s="599" t="s">
        <v>36</v>
      </c>
      <c r="F21" s="600">
        <f t="shared" si="1"/>
        <v>0</v>
      </c>
      <c r="G21" s="596"/>
      <c r="H21" s="597">
        <v>2750</v>
      </c>
      <c r="I21" s="601"/>
      <c r="J21" s="601"/>
      <c r="K21" s="598">
        <f>'FY22-23 Inclusionary Fee'!I43</f>
        <v>5.45</v>
      </c>
      <c r="L21" s="599" t="s">
        <v>36</v>
      </c>
      <c r="M21" s="600">
        <f t="shared" si="0"/>
        <v>0</v>
      </c>
    </row>
    <row r="22" spans="1:13" s="2" customFormat="1" ht="20.100000000000001" customHeight="1">
      <c r="A22" s="597">
        <v>1250</v>
      </c>
      <c r="B22" s="601"/>
      <c r="C22" s="601"/>
      <c r="D22" s="602">
        <f>'FY22-23 Inclusionary Fee'!I13</f>
        <v>4.4800000000000004</v>
      </c>
      <c r="E22" s="599" t="s">
        <v>36</v>
      </c>
      <c r="F22" s="600">
        <f t="shared" si="1"/>
        <v>0</v>
      </c>
      <c r="G22" s="596"/>
      <c r="H22" s="597">
        <v>2800</v>
      </c>
      <c r="I22" s="601"/>
      <c r="J22" s="601"/>
      <c r="K22" s="598">
        <f>'FY22-23 Inclusionary Fee'!I44</f>
        <v>5.47</v>
      </c>
      <c r="L22" s="599" t="s">
        <v>36</v>
      </c>
      <c r="M22" s="600">
        <f t="shared" si="0"/>
        <v>0</v>
      </c>
    </row>
    <row r="23" spans="1:13" s="2" customFormat="1" ht="20.100000000000001" customHeight="1">
      <c r="A23" s="597">
        <v>1300</v>
      </c>
      <c r="B23" s="601"/>
      <c r="C23" s="601"/>
      <c r="D23" s="602">
        <f>'FY22-23 Inclusionary Fee'!I14</f>
        <v>4.5</v>
      </c>
      <c r="E23" s="599" t="s">
        <v>36</v>
      </c>
      <c r="F23" s="600">
        <f t="shared" si="1"/>
        <v>0</v>
      </c>
      <c r="G23" s="596"/>
      <c r="H23" s="597">
        <v>2850</v>
      </c>
      <c r="I23" s="601"/>
      <c r="J23" s="601"/>
      <c r="K23" s="598">
        <f>'FY22-23 Inclusionary Fee'!I45</f>
        <v>5.52</v>
      </c>
      <c r="L23" s="599" t="s">
        <v>36</v>
      </c>
      <c r="M23" s="600">
        <f t="shared" si="0"/>
        <v>0</v>
      </c>
    </row>
    <row r="24" spans="1:13" s="2" customFormat="1" ht="20.100000000000001" customHeight="1">
      <c r="A24" s="597">
        <v>1350</v>
      </c>
      <c r="B24" s="601"/>
      <c r="C24" s="601"/>
      <c r="D24" s="602">
        <f>'FY22-23 Inclusionary Fee'!I15</f>
        <v>4.55</v>
      </c>
      <c r="E24" s="599" t="s">
        <v>36</v>
      </c>
      <c r="F24" s="600">
        <f t="shared" si="1"/>
        <v>0</v>
      </c>
      <c r="G24" s="596"/>
      <c r="H24" s="597">
        <v>2900</v>
      </c>
      <c r="I24" s="601"/>
      <c r="J24" s="601"/>
      <c r="K24" s="598">
        <f>'FY22-23 Inclusionary Fee'!I46</f>
        <v>5.54</v>
      </c>
      <c r="L24" s="599" t="s">
        <v>36</v>
      </c>
      <c r="M24" s="600">
        <f t="shared" si="0"/>
        <v>0</v>
      </c>
    </row>
    <row r="25" spans="1:13" s="2" customFormat="1" ht="20.100000000000001" customHeight="1">
      <c r="A25" s="597">
        <v>1400</v>
      </c>
      <c r="B25" s="601"/>
      <c r="C25" s="601"/>
      <c r="D25" s="602">
        <f>'FY22-23 Inclusionary Fee'!I16</f>
        <v>4.57</v>
      </c>
      <c r="E25" s="599" t="s">
        <v>36</v>
      </c>
      <c r="F25" s="600">
        <f t="shared" si="1"/>
        <v>0</v>
      </c>
      <c r="G25" s="596"/>
      <c r="H25" s="597">
        <v>2950</v>
      </c>
      <c r="I25" s="601"/>
      <c r="J25" s="601"/>
      <c r="K25" s="598">
        <f>'FY22-23 Inclusionary Fee'!I47</f>
        <v>5.58</v>
      </c>
      <c r="L25" s="599" t="s">
        <v>36</v>
      </c>
      <c r="M25" s="600">
        <f t="shared" si="0"/>
        <v>0</v>
      </c>
    </row>
    <row r="26" spans="1:13" s="2" customFormat="1" ht="20.100000000000001" customHeight="1">
      <c r="A26" s="597">
        <v>1450</v>
      </c>
      <c r="B26" s="601"/>
      <c r="C26" s="601"/>
      <c r="D26" s="602">
        <f>'FY22-23 Inclusionary Fee'!I17</f>
        <v>4.6100000000000003</v>
      </c>
      <c r="E26" s="599" t="s">
        <v>36</v>
      </c>
      <c r="F26" s="600">
        <f t="shared" si="1"/>
        <v>0</v>
      </c>
      <c r="G26" s="596"/>
      <c r="H26" s="597">
        <v>3000</v>
      </c>
      <c r="I26" s="601"/>
      <c r="J26" s="601"/>
      <c r="K26" s="598">
        <f>'FY22-23 Inclusionary Fee'!I48</f>
        <v>5.6</v>
      </c>
      <c r="L26" s="599" t="s">
        <v>36</v>
      </c>
      <c r="M26" s="600">
        <f t="shared" si="0"/>
        <v>0</v>
      </c>
    </row>
    <row r="27" spans="1:13" s="2" customFormat="1" ht="20.100000000000001" customHeight="1">
      <c r="A27" s="597">
        <v>1500</v>
      </c>
      <c r="B27" s="601"/>
      <c r="C27" s="601"/>
      <c r="D27" s="602">
        <f>'FY22-23 Inclusionary Fee'!I18</f>
        <v>4.63</v>
      </c>
      <c r="E27" s="599" t="s">
        <v>36</v>
      </c>
      <c r="F27" s="600">
        <f t="shared" si="1"/>
        <v>0</v>
      </c>
      <c r="G27" s="596"/>
      <c r="H27" s="597">
        <v>3050</v>
      </c>
      <c r="I27" s="601"/>
      <c r="J27" s="601"/>
      <c r="K27" s="598">
        <f>'FY22-23 Inclusionary Fee'!I49</f>
        <v>5.65</v>
      </c>
      <c r="L27" s="599" t="s">
        <v>36</v>
      </c>
      <c r="M27" s="600">
        <f t="shared" si="0"/>
        <v>0</v>
      </c>
    </row>
    <row r="28" spans="1:13" s="2" customFormat="1" ht="20.100000000000001" customHeight="1">
      <c r="A28" s="597">
        <v>1550</v>
      </c>
      <c r="B28" s="601"/>
      <c r="C28" s="601"/>
      <c r="D28" s="602">
        <f>'FY22-23 Inclusionary Fee'!I19</f>
        <v>4.68</v>
      </c>
      <c r="E28" s="599" t="s">
        <v>36</v>
      </c>
      <c r="F28" s="600">
        <f t="shared" si="1"/>
        <v>0</v>
      </c>
      <c r="G28" s="596"/>
      <c r="H28" s="597">
        <v>3100</v>
      </c>
      <c r="I28" s="601"/>
      <c r="J28" s="601"/>
      <c r="K28" s="598">
        <f>'FY22-23 Inclusionary Fee'!I50</f>
        <v>5.67</v>
      </c>
      <c r="L28" s="599" t="s">
        <v>36</v>
      </c>
      <c r="M28" s="600">
        <f t="shared" si="0"/>
        <v>0</v>
      </c>
    </row>
    <row r="29" spans="1:13" s="2" customFormat="1" ht="20.100000000000001" customHeight="1">
      <c r="A29" s="597">
        <v>1600</v>
      </c>
      <c r="B29" s="601"/>
      <c r="C29" s="601"/>
      <c r="D29" s="602">
        <f>'FY22-23 Inclusionary Fee'!I20</f>
        <v>4.7</v>
      </c>
      <c r="E29" s="599" t="s">
        <v>36</v>
      </c>
      <c r="F29" s="600">
        <f t="shared" si="1"/>
        <v>0</v>
      </c>
      <c r="G29" s="596"/>
      <c r="H29" s="597">
        <v>3150</v>
      </c>
      <c r="I29" s="601"/>
      <c r="J29" s="601"/>
      <c r="K29" s="598">
        <f>'FY22-23 Inclusionary Fee'!I51</f>
        <v>5.71</v>
      </c>
      <c r="L29" s="599" t="s">
        <v>36</v>
      </c>
      <c r="M29" s="600">
        <f t="shared" si="0"/>
        <v>0</v>
      </c>
    </row>
    <row r="30" spans="1:13" s="2" customFormat="1" ht="20.100000000000001" customHeight="1">
      <c r="A30" s="597">
        <v>1650</v>
      </c>
      <c r="B30" s="601"/>
      <c r="C30" s="601"/>
      <c r="D30" s="602">
        <f>'FY22-23 Inclusionary Fee'!I21</f>
        <v>4.74</v>
      </c>
      <c r="E30" s="599" t="s">
        <v>36</v>
      </c>
      <c r="F30" s="600">
        <f t="shared" si="1"/>
        <v>0</v>
      </c>
      <c r="G30" s="596"/>
      <c r="H30" s="597">
        <v>3200</v>
      </c>
      <c r="I30" s="601"/>
      <c r="J30" s="601"/>
      <c r="K30" s="598">
        <f>'FY22-23 Inclusionary Fee'!I52</f>
        <v>5.73</v>
      </c>
      <c r="L30" s="599" t="s">
        <v>36</v>
      </c>
      <c r="M30" s="600">
        <f t="shared" si="0"/>
        <v>0</v>
      </c>
    </row>
    <row r="31" spans="1:13" s="2" customFormat="1" ht="20.100000000000001" customHeight="1">
      <c r="A31" s="597">
        <v>1700</v>
      </c>
      <c r="B31" s="601"/>
      <c r="C31" s="601"/>
      <c r="D31" s="602">
        <f>'FY22-23 Inclusionary Fee'!I22</f>
        <v>4.76</v>
      </c>
      <c r="E31" s="599" t="s">
        <v>36</v>
      </c>
      <c r="F31" s="600">
        <f t="shared" si="1"/>
        <v>0</v>
      </c>
      <c r="G31" s="596"/>
      <c r="H31" s="597">
        <v>3250</v>
      </c>
      <c r="I31" s="601"/>
      <c r="J31" s="601"/>
      <c r="K31" s="598">
        <f>'FY22-23 Inclusionary Fee'!I53</f>
        <v>5.78</v>
      </c>
      <c r="L31" s="599" t="s">
        <v>36</v>
      </c>
      <c r="M31" s="600">
        <f t="shared" si="0"/>
        <v>0</v>
      </c>
    </row>
    <row r="32" spans="1:13" s="2" customFormat="1" ht="20.100000000000001" customHeight="1">
      <c r="A32" s="597">
        <v>1750</v>
      </c>
      <c r="B32" s="601"/>
      <c r="C32" s="603"/>
      <c r="D32" s="602">
        <f>'FY22-23 Inclusionary Fee'!I23</f>
        <v>4.8099999999999996</v>
      </c>
      <c r="E32" s="599" t="s">
        <v>36</v>
      </c>
      <c r="F32" s="600">
        <f t="shared" si="1"/>
        <v>0</v>
      </c>
      <c r="G32" s="596"/>
      <c r="H32" s="597">
        <v>3300</v>
      </c>
      <c r="I32" s="601"/>
      <c r="J32" s="603"/>
      <c r="K32" s="598">
        <f>'FY22-23 Inclusionary Fee'!I54</f>
        <v>5.8</v>
      </c>
      <c r="L32" s="599" t="s">
        <v>36</v>
      </c>
      <c r="M32" s="600">
        <f t="shared" si="0"/>
        <v>0</v>
      </c>
    </row>
    <row r="33" spans="1:13" s="2" customFormat="1" ht="20.100000000000001" customHeight="1">
      <c r="A33" s="597">
        <v>1800</v>
      </c>
      <c r="B33" s="601"/>
      <c r="C33" s="603"/>
      <c r="D33" s="602">
        <f>'FY22-23 Inclusionary Fee'!I24</f>
        <v>4.83</v>
      </c>
      <c r="E33" s="599" t="s">
        <v>36</v>
      </c>
      <c r="F33" s="600">
        <f t="shared" si="1"/>
        <v>0</v>
      </c>
      <c r="G33" s="596"/>
      <c r="H33" s="597">
        <v>3350</v>
      </c>
      <c r="I33" s="601"/>
      <c r="J33" s="603"/>
      <c r="K33" s="598">
        <f>'FY22-23 Inclusionary Fee'!I55</f>
        <v>5.84</v>
      </c>
      <c r="L33" s="599" t="s">
        <v>36</v>
      </c>
      <c r="M33" s="600">
        <f t="shared" si="0"/>
        <v>0</v>
      </c>
    </row>
    <row r="34" spans="1:13" s="2" customFormat="1" ht="20.100000000000001" customHeight="1">
      <c r="A34" s="597">
        <v>1850</v>
      </c>
      <c r="B34" s="601"/>
      <c r="C34" s="603"/>
      <c r="D34" s="602">
        <f>'FY22-23 Inclusionary Fee'!I25</f>
        <v>4.87</v>
      </c>
      <c r="E34" s="599" t="s">
        <v>36</v>
      </c>
      <c r="F34" s="600">
        <f t="shared" si="1"/>
        <v>0</v>
      </c>
      <c r="G34" s="596"/>
      <c r="H34" s="597">
        <v>3400</v>
      </c>
      <c r="I34" s="601"/>
      <c r="J34" s="603"/>
      <c r="K34" s="598">
        <f>'FY22-23 Inclusionary Fee'!I56</f>
        <v>5.86</v>
      </c>
      <c r="L34" s="599" t="s">
        <v>36</v>
      </c>
      <c r="M34" s="600">
        <f t="shared" si="0"/>
        <v>0</v>
      </c>
    </row>
    <row r="35" spans="1:13" s="2" customFormat="1" ht="20.100000000000001" customHeight="1">
      <c r="A35" s="597">
        <v>1900</v>
      </c>
      <c r="B35" s="601"/>
      <c r="C35" s="603"/>
      <c r="D35" s="602">
        <f>'FY22-23 Inclusionary Fee'!I26</f>
        <v>4.8899999999999997</v>
      </c>
      <c r="E35" s="599" t="s">
        <v>36</v>
      </c>
      <c r="F35" s="600">
        <f t="shared" si="1"/>
        <v>0</v>
      </c>
      <c r="G35" s="596"/>
      <c r="H35" s="597">
        <v>3450</v>
      </c>
      <c r="I35" s="601"/>
      <c r="J35" s="603"/>
      <c r="K35" s="598">
        <f>'FY22-23 Inclusionary Fee'!I57</f>
        <v>5.9</v>
      </c>
      <c r="L35" s="599" t="s">
        <v>36</v>
      </c>
      <c r="M35" s="600">
        <f t="shared" si="0"/>
        <v>0</v>
      </c>
    </row>
    <row r="36" spans="1:13" s="2" customFormat="1" ht="20.100000000000001" customHeight="1">
      <c r="A36" s="597">
        <v>1950</v>
      </c>
      <c r="B36" s="601"/>
      <c r="C36" s="603"/>
      <c r="D36" s="602">
        <f>'FY22-23 Inclusionary Fee'!I27</f>
        <v>4.9400000000000004</v>
      </c>
      <c r="E36" s="599" t="s">
        <v>36</v>
      </c>
      <c r="F36" s="600">
        <f t="shared" si="1"/>
        <v>0</v>
      </c>
      <c r="G36" s="596"/>
      <c r="H36" s="597">
        <v>3500</v>
      </c>
      <c r="I36" s="601"/>
      <c r="J36" s="603"/>
      <c r="K36" s="598">
        <f>'FY22-23 Inclusionary Fee'!I58</f>
        <v>5.93</v>
      </c>
      <c r="L36" s="599" t="s">
        <v>36</v>
      </c>
      <c r="M36" s="600">
        <f t="shared" si="0"/>
        <v>0</v>
      </c>
    </row>
    <row r="37" spans="1:13" s="2" customFormat="1" ht="20.100000000000001" customHeight="1">
      <c r="A37" s="597">
        <v>2000</v>
      </c>
      <c r="B37" s="601"/>
      <c r="C37" s="603"/>
      <c r="D37" s="602">
        <f>'FY22-23 Inclusionary Fee'!I28</f>
        <v>4.96</v>
      </c>
      <c r="E37" s="599" t="s">
        <v>36</v>
      </c>
      <c r="F37" s="600">
        <f t="shared" si="1"/>
        <v>0</v>
      </c>
      <c r="G37" s="596"/>
      <c r="H37" s="597">
        <v>3550</v>
      </c>
      <c r="I37" s="601"/>
      <c r="J37" s="603"/>
      <c r="K37" s="598">
        <f>'FY22-23 Inclusionary Fee'!I59</f>
        <v>5.97</v>
      </c>
      <c r="L37" s="599" t="s">
        <v>36</v>
      </c>
      <c r="M37" s="600">
        <f t="shared" si="0"/>
        <v>0</v>
      </c>
    </row>
    <row r="38" spans="1:13" s="2" customFormat="1" ht="20.100000000000001" customHeight="1">
      <c r="A38" s="597">
        <v>2050</v>
      </c>
      <c r="B38" s="601"/>
      <c r="C38" s="603"/>
      <c r="D38" s="602">
        <f>'FY22-23 Inclusionary Fee'!I29</f>
        <v>5</v>
      </c>
      <c r="E38" s="599" t="s">
        <v>36</v>
      </c>
      <c r="F38" s="600">
        <f t="shared" si="1"/>
        <v>0</v>
      </c>
      <c r="G38" s="596"/>
      <c r="H38" s="597">
        <v>3600</v>
      </c>
      <c r="I38" s="601"/>
      <c r="J38" s="603"/>
      <c r="K38" s="598">
        <f>'FY22-23 Inclusionary Fee'!I60</f>
        <v>5.99</v>
      </c>
      <c r="L38" s="599" t="s">
        <v>36</v>
      </c>
      <c r="M38" s="600">
        <f t="shared" si="0"/>
        <v>0</v>
      </c>
    </row>
    <row r="39" spans="1:13" s="2" customFormat="1" ht="20.100000000000001" customHeight="1">
      <c r="A39" s="597">
        <v>2100</v>
      </c>
      <c r="B39" s="601"/>
      <c r="C39" s="603"/>
      <c r="D39" s="602">
        <f>'FY22-23 Inclusionary Fee'!I30</f>
        <v>5.0199999999999996</v>
      </c>
      <c r="E39" s="599" t="s">
        <v>36</v>
      </c>
      <c r="F39" s="600">
        <f t="shared" si="1"/>
        <v>0</v>
      </c>
      <c r="G39" s="596"/>
      <c r="H39" s="597">
        <v>3650</v>
      </c>
      <c r="I39" s="601"/>
      <c r="J39" s="603"/>
      <c r="K39" s="598">
        <f>'FY22-23 Inclusionary Fee'!I61</f>
        <v>6.03</v>
      </c>
      <c r="L39" s="599" t="s">
        <v>36</v>
      </c>
      <c r="M39" s="600">
        <f t="shared" si="0"/>
        <v>0</v>
      </c>
    </row>
    <row r="40" spans="1:13" s="2" customFormat="1" ht="20.100000000000001" customHeight="1">
      <c r="A40" s="597">
        <v>2150</v>
      </c>
      <c r="B40" s="601"/>
      <c r="C40" s="603"/>
      <c r="D40" s="602">
        <f>'FY22-23 Inclusionary Fee'!I31</f>
        <v>5.0599999999999996</v>
      </c>
      <c r="E40" s="599" t="s">
        <v>36</v>
      </c>
      <c r="F40" s="600">
        <f t="shared" si="1"/>
        <v>0</v>
      </c>
      <c r="G40" s="596"/>
      <c r="H40" s="597">
        <v>3700</v>
      </c>
      <c r="I40" s="601"/>
      <c r="J40" s="603"/>
      <c r="K40" s="598">
        <f>'FY22-23 Inclusionary Fee'!I62</f>
        <v>6.06</v>
      </c>
      <c r="L40" s="599" t="s">
        <v>36</v>
      </c>
      <c r="M40" s="600">
        <f t="shared" si="0"/>
        <v>0</v>
      </c>
    </row>
    <row r="41" spans="1:13" s="2" customFormat="1" ht="20.100000000000001" customHeight="1">
      <c r="A41" s="597">
        <v>2200</v>
      </c>
      <c r="B41" s="601"/>
      <c r="C41" s="603"/>
      <c r="D41" s="602">
        <f>'FY22-23 Inclusionary Fee'!I32</f>
        <v>5.09</v>
      </c>
      <c r="E41" s="599" t="s">
        <v>36</v>
      </c>
      <c r="F41" s="600">
        <f t="shared" si="1"/>
        <v>0</v>
      </c>
      <c r="G41" s="596"/>
      <c r="H41" s="597">
        <v>3750</v>
      </c>
      <c r="I41" s="601"/>
      <c r="J41" s="603"/>
      <c r="K41" s="598">
        <f>'FY22-23 Inclusionary Fee'!I63</f>
        <v>6.1</v>
      </c>
      <c r="L41" s="599" t="s">
        <v>36</v>
      </c>
      <c r="M41" s="600">
        <f t="shared" si="0"/>
        <v>0</v>
      </c>
    </row>
    <row r="42" spans="1:13" s="2" customFormat="1" ht="20.100000000000001" customHeight="1">
      <c r="A42" s="597">
        <v>2250</v>
      </c>
      <c r="B42" s="601"/>
      <c r="C42" s="603"/>
      <c r="D42" s="602">
        <f>'FY22-23 Inclusionary Fee'!I33</f>
        <v>5.13</v>
      </c>
      <c r="E42" s="599" t="s">
        <v>36</v>
      </c>
      <c r="F42" s="600">
        <f t="shared" si="1"/>
        <v>0</v>
      </c>
      <c r="G42" s="596"/>
      <c r="H42" s="597">
        <v>3800</v>
      </c>
      <c r="I42" s="601"/>
      <c r="J42" s="603"/>
      <c r="K42" s="598">
        <f>'FY22-23 Inclusionary Fee'!I64</f>
        <v>6.12</v>
      </c>
      <c r="L42" s="599" t="s">
        <v>36</v>
      </c>
      <c r="M42" s="600">
        <f t="shared" si="0"/>
        <v>0</v>
      </c>
    </row>
    <row r="43" spans="1:13" s="2" customFormat="1" ht="20.100000000000001" customHeight="1">
      <c r="A43" s="597">
        <v>2300</v>
      </c>
      <c r="B43" s="601"/>
      <c r="C43" s="603"/>
      <c r="D43" s="602">
        <f>'FY22-23 Inclusionary Fee'!I34</f>
        <v>5.15</v>
      </c>
      <c r="E43" s="599" t="s">
        <v>36</v>
      </c>
      <c r="F43" s="600">
        <f t="shared" si="1"/>
        <v>0</v>
      </c>
      <c r="G43" s="596"/>
      <c r="H43" s="597">
        <v>3850</v>
      </c>
      <c r="I43" s="601"/>
      <c r="J43" s="603"/>
      <c r="K43" s="598">
        <f>'FY22-23 Inclusionary Fee'!I65</f>
        <v>6.16</v>
      </c>
      <c r="L43" s="599" t="s">
        <v>36</v>
      </c>
      <c r="M43" s="600">
        <f t="shared" si="0"/>
        <v>0</v>
      </c>
    </row>
    <row r="44" spans="1:13" s="2" customFormat="1" ht="20.100000000000001" customHeight="1">
      <c r="A44" s="597">
        <v>2350</v>
      </c>
      <c r="B44" s="601"/>
      <c r="C44" s="601"/>
      <c r="D44" s="602">
        <f>'FY22-23 Inclusionary Fee'!I35</f>
        <v>5.19</v>
      </c>
      <c r="E44" s="599" t="s">
        <v>36</v>
      </c>
      <c r="F44" s="600">
        <f t="shared" si="1"/>
        <v>0</v>
      </c>
      <c r="G44" s="596"/>
      <c r="H44" s="597">
        <v>3900</v>
      </c>
      <c r="I44" s="601"/>
      <c r="J44" s="601"/>
      <c r="K44" s="598">
        <f>'FY22-23 Inclusionary Fee'!I66</f>
        <v>6.18</v>
      </c>
      <c r="L44" s="599" t="s">
        <v>36</v>
      </c>
      <c r="M44" s="600">
        <f t="shared" si="0"/>
        <v>0</v>
      </c>
    </row>
    <row r="45" spans="1:13" s="2" customFormat="1" ht="20.100000000000001" customHeight="1">
      <c r="A45" s="597">
        <v>2400</v>
      </c>
      <c r="B45" s="601"/>
      <c r="C45" s="601"/>
      <c r="D45" s="602">
        <f>'FY22-23 Inclusionary Fee'!I36</f>
        <v>5.22</v>
      </c>
      <c r="E45" s="599" t="s">
        <v>36</v>
      </c>
      <c r="F45" s="600">
        <f t="shared" si="1"/>
        <v>0</v>
      </c>
      <c r="G45" s="596"/>
      <c r="H45" s="597">
        <v>3950</v>
      </c>
      <c r="I45" s="601"/>
      <c r="J45" s="601"/>
      <c r="K45" s="598">
        <f>'FY22-23 Inclusionary Fee'!I67</f>
        <v>6.23</v>
      </c>
      <c r="L45" s="599" t="s">
        <v>36</v>
      </c>
      <c r="M45" s="600">
        <f t="shared" si="0"/>
        <v>0</v>
      </c>
    </row>
    <row r="46" spans="1:13" s="2" customFormat="1" ht="20.100000000000001" customHeight="1">
      <c r="A46" s="604">
        <v>2450</v>
      </c>
      <c r="B46" s="601"/>
      <c r="C46" s="601"/>
      <c r="D46" s="602">
        <f>'FY22-23 Inclusionary Fee'!I37</f>
        <v>5.26</v>
      </c>
      <c r="E46" s="605" t="s">
        <v>36</v>
      </c>
      <c r="F46" s="600">
        <f t="shared" si="1"/>
        <v>0</v>
      </c>
      <c r="G46" s="596"/>
      <c r="H46" s="597">
        <v>4000</v>
      </c>
      <c r="I46" s="601"/>
      <c r="J46" s="601"/>
      <c r="K46" s="598">
        <f>'FY22-23 Inclusionary Fee'!I68</f>
        <v>6.25</v>
      </c>
      <c r="L46" s="605" t="s">
        <v>36</v>
      </c>
      <c r="M46" s="600">
        <f t="shared" si="0"/>
        <v>0</v>
      </c>
    </row>
    <row r="47" spans="1:13" s="2" customFormat="1" ht="20.100000000000001" customHeight="1" thickBot="1">
      <c r="A47" s="596"/>
      <c r="B47" s="596"/>
      <c r="C47" s="596"/>
      <c r="D47" s="596"/>
      <c r="E47" s="596"/>
      <c r="F47" s="606"/>
      <c r="G47" s="596"/>
      <c r="H47" s="607" t="s">
        <v>37</v>
      </c>
      <c r="I47" s="608"/>
      <c r="J47" s="608"/>
      <c r="K47" s="608"/>
      <c r="L47" s="609"/>
      <c r="M47" s="610">
        <f>SUM(M16:M46)+SUM(F16:F46)</f>
        <v>0</v>
      </c>
    </row>
    <row r="48" spans="1:13" s="2" customFormat="1" ht="20.100000000000001" customHeight="1" thickTop="1"/>
    <row r="49" spans="8:13" s="2" customFormat="1"/>
    <row r="50" spans="8:13" s="2" customFormat="1">
      <c r="H50" s="3"/>
      <c r="I50" s="3"/>
      <c r="J50" s="3"/>
      <c r="K50" s="3"/>
      <c r="L50" s="3"/>
      <c r="M50" s="3"/>
    </row>
    <row r="51" spans="8:13" s="2" customFormat="1"/>
  </sheetData>
  <sheetProtection algorithmName="SHA-512" hashValue="0jqeArXHdkf1LUoYV1Z/GbEWV4COuibTYNNpJ79+sEqdqSiHmzopu2aZic+HYRjdP5d5Nq6R+QQvGkOt8mlDTg==" saltValue="uHgDTjdy4GiegL46VvE3Cg==" spinCount="100000" sheet="1" objects="1" scenarios="1"/>
  <mergeCells count="24">
    <mergeCell ref="J4:M11"/>
    <mergeCell ref="A12:I12"/>
    <mergeCell ref="G13:J13"/>
    <mergeCell ref="A6:C6"/>
    <mergeCell ref="A7:C7"/>
    <mergeCell ref="A8:C8"/>
    <mergeCell ref="A9:C9"/>
    <mergeCell ref="A10:C10"/>
    <mergeCell ref="A1:M1"/>
    <mergeCell ref="L12:M12"/>
    <mergeCell ref="E13:F13"/>
    <mergeCell ref="L13:M13"/>
    <mergeCell ref="D4:I4"/>
    <mergeCell ref="D5:I5"/>
    <mergeCell ref="D6:I6"/>
    <mergeCell ref="D7:I7"/>
    <mergeCell ref="D8:I8"/>
    <mergeCell ref="D9:I9"/>
    <mergeCell ref="D10:I10"/>
    <mergeCell ref="D11:I11"/>
    <mergeCell ref="A2:M3"/>
    <mergeCell ref="A4:C4"/>
    <mergeCell ref="A5:C5"/>
    <mergeCell ref="A11:C11"/>
  </mergeCells>
  <pageMargins left="0.25" right="0.25" top="0.75" bottom="0.75" header="0.3" footer="0.3"/>
  <pageSetup scale="67" orientation="portrait" horizontalDpi="1200" verticalDpi="1200" r:id="rId1"/>
  <ignoredErrors>
    <ignoredError sqref="D4:I9" unlockedFormula="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98122B-4057-46B2-A144-27D7E1DC84DD}">
  <sheetPr>
    <tabColor rgb="FFFFC000"/>
  </sheetPr>
  <dimension ref="A1:L89"/>
  <sheetViews>
    <sheetView zoomScaleNormal="100" workbookViewId="0">
      <selection activeCell="C3" sqref="C3:E3"/>
    </sheetView>
  </sheetViews>
  <sheetFormatPr defaultColWidth="9.33203125" defaultRowHeight="12.75"/>
  <cols>
    <col min="1" max="3" width="20.83203125" style="4" customWidth="1"/>
    <col min="4" max="4" width="34.5" style="4" bestFit="1" customWidth="1"/>
    <col min="5" max="5" width="20.83203125" style="4" customWidth="1"/>
    <col min="6" max="13" width="0" style="4" hidden="1" customWidth="1"/>
    <col min="14" max="16384" width="9.33203125" style="4"/>
  </cols>
  <sheetData>
    <row r="1" spans="1:5" ht="21">
      <c r="A1" s="899" t="s">
        <v>9</v>
      </c>
      <c r="B1" s="899"/>
      <c r="C1" s="899"/>
      <c r="D1" s="899"/>
      <c r="E1" s="899"/>
    </row>
    <row r="2" spans="1:5" ht="21.75" thickBot="1">
      <c r="A2" s="898" t="s">
        <v>93</v>
      </c>
      <c r="B2" s="898"/>
      <c r="C2" s="898"/>
      <c r="D2" s="898"/>
      <c r="E2" s="898"/>
    </row>
    <row r="3" spans="1:5" ht="15.75">
      <c r="A3" s="900" t="s">
        <v>89</v>
      </c>
      <c r="B3" s="901"/>
      <c r="C3" s="848">
        <f>'Data Sheet'!B5</f>
        <v>0</v>
      </c>
      <c r="D3" s="849"/>
      <c r="E3" s="850"/>
    </row>
    <row r="4" spans="1:5" ht="15.75">
      <c r="A4" s="902" t="s">
        <v>90</v>
      </c>
      <c r="B4" s="903"/>
      <c r="C4" s="851">
        <f>'Data Sheet'!B6</f>
        <v>0</v>
      </c>
      <c r="D4" s="852"/>
      <c r="E4" s="853"/>
    </row>
    <row r="5" spans="1:5" ht="15.75">
      <c r="A5" s="902" t="s">
        <v>91</v>
      </c>
      <c r="B5" s="903"/>
      <c r="C5" s="851">
        <f>'Data Sheet'!B7</f>
        <v>0</v>
      </c>
      <c r="D5" s="852"/>
      <c r="E5" s="853"/>
    </row>
    <row r="6" spans="1:5" ht="16.5" thickBot="1">
      <c r="A6" s="895" t="s">
        <v>92</v>
      </c>
      <c r="B6" s="896"/>
      <c r="C6" s="857">
        <f>'Data Sheet'!B9</f>
        <v>0</v>
      </c>
      <c r="D6" s="858"/>
      <c r="E6" s="897"/>
    </row>
    <row r="7" spans="1:5" ht="16.5" thickBot="1">
      <c r="A7" s="339" t="s">
        <v>96</v>
      </c>
      <c r="B7" s="315"/>
      <c r="C7" s="316"/>
      <c r="D7" s="340" t="s">
        <v>14</v>
      </c>
      <c r="E7" s="317"/>
    </row>
    <row r="8" spans="1:5" ht="15.75">
      <c r="A8" s="318" t="s">
        <v>76</v>
      </c>
      <c r="B8" s="319" t="s">
        <v>77</v>
      </c>
      <c r="C8" s="319" t="s">
        <v>78</v>
      </c>
      <c r="D8" s="319" t="s">
        <v>79</v>
      </c>
      <c r="E8" s="320" t="s">
        <v>80</v>
      </c>
    </row>
    <row r="9" spans="1:5" ht="15.75">
      <c r="A9" s="321">
        <v>1</v>
      </c>
      <c r="B9" s="322">
        <v>8</v>
      </c>
      <c r="C9" s="323">
        <v>0.5</v>
      </c>
      <c r="D9" s="324" t="s">
        <v>395</v>
      </c>
      <c r="E9" s="325">
        <v>0</v>
      </c>
    </row>
    <row r="10" spans="1:5" ht="15.75">
      <c r="A10" s="321">
        <v>2</v>
      </c>
      <c r="B10" s="322">
        <v>21</v>
      </c>
      <c r="C10" s="323">
        <v>0.5</v>
      </c>
      <c r="D10" s="324" t="s">
        <v>395</v>
      </c>
      <c r="E10" s="325">
        <v>0</v>
      </c>
    </row>
    <row r="11" spans="1:5" ht="15.75">
      <c r="A11" s="321">
        <v>3</v>
      </c>
      <c r="B11" s="322">
        <v>9.5</v>
      </c>
      <c r="C11" s="323">
        <v>0</v>
      </c>
      <c r="D11" s="324" t="s">
        <v>396</v>
      </c>
      <c r="E11" s="325">
        <v>0</v>
      </c>
    </row>
    <row r="12" spans="1:5" ht="15.75">
      <c r="A12" s="321">
        <v>4</v>
      </c>
      <c r="B12" s="322">
        <v>5.5</v>
      </c>
      <c r="C12" s="323">
        <v>0</v>
      </c>
      <c r="D12" s="324" t="s">
        <v>397</v>
      </c>
      <c r="E12" s="325">
        <v>0</v>
      </c>
    </row>
    <row r="13" spans="1:5" ht="15.75">
      <c r="A13" s="321">
        <v>5</v>
      </c>
      <c r="B13" s="322">
        <v>33</v>
      </c>
      <c r="C13" s="323">
        <v>0</v>
      </c>
      <c r="D13" s="324" t="s">
        <v>398</v>
      </c>
      <c r="E13" s="325">
        <v>0</v>
      </c>
    </row>
    <row r="14" spans="1:5" ht="15.75">
      <c r="A14" s="321">
        <v>6</v>
      </c>
      <c r="B14" s="322">
        <v>4.5</v>
      </c>
      <c r="C14" s="323">
        <v>0</v>
      </c>
      <c r="D14" s="324" t="s">
        <v>399</v>
      </c>
      <c r="E14" s="325">
        <v>0</v>
      </c>
    </row>
    <row r="15" spans="1:5" ht="15.75">
      <c r="A15" s="321">
        <v>7</v>
      </c>
      <c r="B15" s="322">
        <v>36</v>
      </c>
      <c r="C15" s="323">
        <v>0</v>
      </c>
      <c r="D15" s="324" t="s">
        <v>400</v>
      </c>
      <c r="E15" s="325">
        <v>0</v>
      </c>
    </row>
    <row r="16" spans="1:5" ht="15.75">
      <c r="A16" s="321">
        <v>8</v>
      </c>
      <c r="B16" s="322">
        <v>5</v>
      </c>
      <c r="C16" s="323">
        <v>0</v>
      </c>
      <c r="D16" s="324" t="s">
        <v>401</v>
      </c>
      <c r="E16" s="325">
        <v>0</v>
      </c>
    </row>
    <row r="17" spans="1:11" ht="15.75">
      <c r="A17" s="321">
        <v>9</v>
      </c>
      <c r="B17" s="322">
        <v>5.5</v>
      </c>
      <c r="C17" s="323">
        <v>0</v>
      </c>
      <c r="D17" s="324" t="s">
        <v>401</v>
      </c>
      <c r="E17" s="325">
        <v>0</v>
      </c>
    </row>
    <row r="18" spans="1:11" ht="15.75">
      <c r="A18" s="321">
        <v>10</v>
      </c>
      <c r="B18" s="322">
        <v>5</v>
      </c>
      <c r="C18" s="323">
        <v>0</v>
      </c>
      <c r="D18" s="324" t="s">
        <v>401</v>
      </c>
      <c r="E18" s="325">
        <v>0</v>
      </c>
    </row>
    <row r="19" spans="1:11" ht="15.75">
      <c r="A19" s="321">
        <v>11</v>
      </c>
      <c r="B19" s="322">
        <v>5.5</v>
      </c>
      <c r="C19" s="323">
        <v>0</v>
      </c>
      <c r="D19" s="324" t="s">
        <v>401</v>
      </c>
      <c r="E19" s="325">
        <v>0</v>
      </c>
    </row>
    <row r="20" spans="1:11" ht="15.75">
      <c r="A20" s="321">
        <v>12</v>
      </c>
      <c r="B20" s="322">
        <v>5.5</v>
      </c>
      <c r="C20" s="323">
        <v>0</v>
      </c>
      <c r="D20" s="324" t="s">
        <v>401</v>
      </c>
      <c r="E20" s="325">
        <v>0</v>
      </c>
    </row>
    <row r="21" spans="1:11" ht="15.75">
      <c r="A21" s="321">
        <v>13</v>
      </c>
      <c r="B21" s="322">
        <v>6</v>
      </c>
      <c r="C21" s="323">
        <v>0</v>
      </c>
      <c r="D21" s="324" t="s">
        <v>401</v>
      </c>
      <c r="E21" s="325">
        <v>0</v>
      </c>
    </row>
    <row r="22" spans="1:11" ht="15.75">
      <c r="A22" s="321">
        <v>14</v>
      </c>
      <c r="B22" s="322">
        <v>5</v>
      </c>
      <c r="C22" s="323">
        <v>0</v>
      </c>
      <c r="D22" s="324" t="s">
        <v>401</v>
      </c>
      <c r="E22" s="325">
        <v>0</v>
      </c>
    </row>
    <row r="23" spans="1:11" ht="15.75">
      <c r="A23" s="321">
        <v>15</v>
      </c>
      <c r="B23" s="322">
        <v>19</v>
      </c>
      <c r="C23" s="323">
        <v>0</v>
      </c>
      <c r="D23" s="324" t="s">
        <v>400</v>
      </c>
      <c r="E23" s="325">
        <v>0</v>
      </c>
    </row>
    <row r="24" spans="1:11" ht="15.75">
      <c r="A24" s="321">
        <v>16</v>
      </c>
      <c r="B24" s="322">
        <v>5</v>
      </c>
      <c r="C24" s="323">
        <v>0</v>
      </c>
      <c r="D24" s="324" t="s">
        <v>401</v>
      </c>
      <c r="E24" s="325">
        <v>0</v>
      </c>
    </row>
    <row r="25" spans="1:11" ht="15.75">
      <c r="A25" s="321">
        <v>17</v>
      </c>
      <c r="B25" s="322">
        <v>4</v>
      </c>
      <c r="C25" s="323">
        <v>0</v>
      </c>
      <c r="D25" s="324" t="s">
        <v>401</v>
      </c>
      <c r="E25" s="325">
        <v>0</v>
      </c>
    </row>
    <row r="26" spans="1:11" ht="15.75">
      <c r="A26" s="321">
        <v>18</v>
      </c>
      <c r="B26" s="322">
        <v>5</v>
      </c>
      <c r="C26" s="323">
        <v>0</v>
      </c>
      <c r="D26" s="324" t="s">
        <v>401</v>
      </c>
      <c r="E26" s="325">
        <v>0</v>
      </c>
    </row>
    <row r="27" spans="1:11" ht="15.75">
      <c r="A27" s="321">
        <v>19</v>
      </c>
      <c r="B27" s="322">
        <v>5.5</v>
      </c>
      <c r="C27" s="323">
        <v>0</v>
      </c>
      <c r="D27" s="324" t="s">
        <v>401</v>
      </c>
      <c r="E27" s="325">
        <v>0</v>
      </c>
    </row>
    <row r="28" spans="1:11" ht="15.75">
      <c r="A28" s="321">
        <v>20</v>
      </c>
      <c r="B28" s="322">
        <v>15.5</v>
      </c>
      <c r="C28" s="323">
        <v>0</v>
      </c>
      <c r="D28" s="324" t="s">
        <v>400</v>
      </c>
      <c r="E28" s="325">
        <v>0</v>
      </c>
    </row>
    <row r="29" spans="1:11" ht="16.5" thickBot="1">
      <c r="A29" s="321"/>
      <c r="B29" s="322"/>
      <c r="C29" s="323">
        <v>1</v>
      </c>
      <c r="D29" s="324"/>
      <c r="E29" s="325"/>
      <c r="F29" s="302" t="s">
        <v>392</v>
      </c>
      <c r="G29" s="302"/>
      <c r="H29" s="302"/>
      <c r="I29" s="302"/>
      <c r="J29" s="302"/>
      <c r="K29" s="302"/>
    </row>
    <row r="30" spans="1:11" ht="16.5" hidden="1" thickBot="1">
      <c r="A30" s="326"/>
      <c r="B30" s="327"/>
      <c r="C30" s="323">
        <v>1</v>
      </c>
      <c r="D30" s="328"/>
      <c r="E30" s="329"/>
    </row>
    <row r="31" spans="1:11" ht="16.5" hidden="1" thickBot="1">
      <c r="A31" s="326"/>
      <c r="B31" s="327"/>
      <c r="C31" s="323">
        <v>1</v>
      </c>
      <c r="D31" s="328"/>
      <c r="E31" s="329"/>
    </row>
    <row r="32" spans="1:11" ht="16.5" hidden="1" thickBot="1">
      <c r="A32" s="326"/>
      <c r="B32" s="327"/>
      <c r="C32" s="323">
        <v>1</v>
      </c>
      <c r="D32" s="328"/>
      <c r="E32" s="329"/>
    </row>
    <row r="33" spans="1:5" ht="16.5" hidden="1" thickBot="1">
      <c r="A33" s="326"/>
      <c r="B33" s="327"/>
      <c r="C33" s="323">
        <v>1</v>
      </c>
      <c r="D33" s="328"/>
      <c r="E33" s="329"/>
    </row>
    <row r="34" spans="1:5" ht="16.5" hidden="1" thickBot="1">
      <c r="A34" s="326"/>
      <c r="B34" s="327"/>
      <c r="C34" s="323">
        <v>1</v>
      </c>
      <c r="D34" s="328"/>
      <c r="E34" s="329"/>
    </row>
    <row r="35" spans="1:5" ht="16.5" hidden="1" thickBot="1">
      <c r="A35" s="326"/>
      <c r="B35" s="327"/>
      <c r="C35" s="323">
        <v>1</v>
      </c>
      <c r="D35" s="328"/>
      <c r="E35" s="329"/>
    </row>
    <row r="36" spans="1:5" ht="16.5" hidden="1" thickBot="1">
      <c r="A36" s="326"/>
      <c r="B36" s="327"/>
      <c r="C36" s="323">
        <v>1</v>
      </c>
      <c r="D36" s="328"/>
      <c r="E36" s="329"/>
    </row>
    <row r="37" spans="1:5" ht="16.5" hidden="1" thickBot="1">
      <c r="A37" s="326"/>
      <c r="B37" s="327"/>
      <c r="C37" s="323">
        <v>1</v>
      </c>
      <c r="D37" s="328"/>
      <c r="E37" s="329"/>
    </row>
    <row r="38" spans="1:5" ht="16.5" hidden="1" thickBot="1">
      <c r="A38" s="326"/>
      <c r="B38" s="327"/>
      <c r="C38" s="323">
        <v>1</v>
      </c>
      <c r="D38" s="328"/>
      <c r="E38" s="329"/>
    </row>
    <row r="39" spans="1:5" ht="16.5" hidden="1" thickBot="1">
      <c r="A39" s="326"/>
      <c r="B39" s="327"/>
      <c r="C39" s="323">
        <v>1</v>
      </c>
      <c r="D39" s="328"/>
      <c r="E39" s="329"/>
    </row>
    <row r="40" spans="1:5" ht="16.5" hidden="1" thickBot="1">
      <c r="A40" s="326"/>
      <c r="B40" s="327"/>
      <c r="C40" s="323">
        <v>1</v>
      </c>
      <c r="D40" s="328"/>
      <c r="E40" s="329"/>
    </row>
    <row r="41" spans="1:5" ht="16.5" hidden="1" thickBot="1">
      <c r="A41" s="326"/>
      <c r="B41" s="327"/>
      <c r="C41" s="323">
        <v>1</v>
      </c>
      <c r="D41" s="328"/>
      <c r="E41" s="329"/>
    </row>
    <row r="42" spans="1:5" ht="16.5" hidden="1" thickBot="1">
      <c r="A42" s="326"/>
      <c r="B42" s="327"/>
      <c r="C42" s="323">
        <v>1</v>
      </c>
      <c r="D42" s="328"/>
      <c r="E42" s="329"/>
    </row>
    <row r="43" spans="1:5" ht="16.5" hidden="1" thickBot="1">
      <c r="A43" s="326"/>
      <c r="B43" s="327"/>
      <c r="C43" s="323">
        <v>1</v>
      </c>
      <c r="D43" s="328"/>
      <c r="E43" s="329"/>
    </row>
    <row r="44" spans="1:5" ht="16.5" hidden="1" thickBot="1">
      <c r="A44" s="326"/>
      <c r="B44" s="327"/>
      <c r="C44" s="323">
        <v>1</v>
      </c>
      <c r="D44" s="328"/>
      <c r="E44" s="329"/>
    </row>
    <row r="45" spans="1:5" ht="16.5" hidden="1" thickBot="1">
      <c r="A45" s="326"/>
      <c r="B45" s="327"/>
      <c r="C45" s="323">
        <v>1</v>
      </c>
      <c r="D45" s="328"/>
      <c r="E45" s="329"/>
    </row>
    <row r="46" spans="1:5" ht="16.5" hidden="1" thickBot="1">
      <c r="A46" s="326"/>
      <c r="B46" s="327"/>
      <c r="C46" s="323">
        <v>1</v>
      </c>
      <c r="D46" s="328"/>
      <c r="E46" s="329"/>
    </row>
    <row r="47" spans="1:5" ht="16.5" hidden="1" thickBot="1">
      <c r="A47" s="326"/>
      <c r="B47" s="327"/>
      <c r="C47" s="323">
        <v>1</v>
      </c>
      <c r="D47" s="328"/>
      <c r="E47" s="329"/>
    </row>
    <row r="48" spans="1:5" ht="16.5" hidden="1" thickBot="1">
      <c r="A48" s="326"/>
      <c r="B48" s="327"/>
      <c r="C48" s="323">
        <v>1</v>
      </c>
      <c r="D48" s="328"/>
      <c r="E48" s="329"/>
    </row>
    <row r="49" spans="1:5" ht="16.5" hidden="1" thickBot="1">
      <c r="A49" s="326"/>
      <c r="B49" s="327"/>
      <c r="C49" s="323">
        <v>1</v>
      </c>
      <c r="D49" s="328"/>
      <c r="E49" s="329"/>
    </row>
    <row r="50" spans="1:5" ht="16.5" hidden="1" thickBot="1">
      <c r="A50" s="326"/>
      <c r="B50" s="327"/>
      <c r="C50" s="323">
        <v>1</v>
      </c>
      <c r="D50" s="328"/>
      <c r="E50" s="329"/>
    </row>
    <row r="51" spans="1:5" ht="16.5" hidden="1" thickBot="1">
      <c r="A51" s="326"/>
      <c r="B51" s="327"/>
      <c r="C51" s="323">
        <v>1</v>
      </c>
      <c r="D51" s="328"/>
      <c r="E51" s="329"/>
    </row>
    <row r="52" spans="1:5" ht="16.5" hidden="1" thickBot="1">
      <c r="A52" s="326"/>
      <c r="B52" s="327"/>
      <c r="C52" s="323">
        <v>1</v>
      </c>
      <c r="D52" s="328"/>
      <c r="E52" s="329"/>
    </row>
    <row r="53" spans="1:5" ht="16.5" hidden="1" thickBot="1">
      <c r="A53" s="326"/>
      <c r="B53" s="327"/>
      <c r="C53" s="323">
        <v>1</v>
      </c>
      <c r="D53" s="328"/>
      <c r="E53" s="329"/>
    </row>
    <row r="54" spans="1:5" ht="16.5" hidden="1" thickBot="1">
      <c r="A54" s="326"/>
      <c r="B54" s="327"/>
      <c r="C54" s="323">
        <v>1</v>
      </c>
      <c r="D54" s="328"/>
      <c r="E54" s="329"/>
    </row>
    <row r="55" spans="1:5" ht="16.5" hidden="1" thickBot="1">
      <c r="A55" s="326"/>
      <c r="B55" s="327"/>
      <c r="C55" s="323">
        <v>1</v>
      </c>
      <c r="D55" s="328"/>
      <c r="E55" s="329"/>
    </row>
    <row r="56" spans="1:5" ht="16.5" hidden="1" thickBot="1">
      <c r="A56" s="326"/>
      <c r="B56" s="327"/>
      <c r="C56" s="323">
        <v>1</v>
      </c>
      <c r="D56" s="328"/>
      <c r="E56" s="329"/>
    </row>
    <row r="57" spans="1:5" ht="16.5" hidden="1" thickBot="1">
      <c r="A57" s="326"/>
      <c r="B57" s="327"/>
      <c r="C57" s="323">
        <v>1</v>
      </c>
      <c r="D57" s="328"/>
      <c r="E57" s="329"/>
    </row>
    <row r="58" spans="1:5" ht="16.5" hidden="1" thickBot="1">
      <c r="A58" s="326"/>
      <c r="B58" s="327"/>
      <c r="C58" s="323">
        <v>1</v>
      </c>
      <c r="D58" s="328"/>
      <c r="E58" s="329"/>
    </row>
    <row r="59" spans="1:5" ht="16.5" hidden="1" thickBot="1">
      <c r="A59" s="326"/>
      <c r="B59" s="327"/>
      <c r="C59" s="323">
        <v>1</v>
      </c>
      <c r="D59" s="328"/>
      <c r="E59" s="329"/>
    </row>
    <row r="60" spans="1:5" ht="16.5" hidden="1" thickBot="1">
      <c r="A60" s="326"/>
      <c r="B60" s="327"/>
      <c r="C60" s="323">
        <v>1</v>
      </c>
      <c r="D60" s="328"/>
      <c r="E60" s="329"/>
    </row>
    <row r="61" spans="1:5" ht="16.5" hidden="1" thickBot="1">
      <c r="A61" s="326"/>
      <c r="B61" s="327"/>
      <c r="C61" s="323">
        <v>1</v>
      </c>
      <c r="D61" s="328"/>
      <c r="E61" s="329"/>
    </row>
    <row r="62" spans="1:5" ht="16.5" hidden="1" thickBot="1">
      <c r="A62" s="326"/>
      <c r="B62" s="327"/>
      <c r="C62" s="323">
        <v>1</v>
      </c>
      <c r="D62" s="328"/>
      <c r="E62" s="329"/>
    </row>
    <row r="63" spans="1:5" ht="16.5" hidden="1" thickBot="1">
      <c r="A63" s="326"/>
      <c r="B63" s="327"/>
      <c r="C63" s="323">
        <v>1</v>
      </c>
      <c r="D63" s="328"/>
      <c r="E63" s="329"/>
    </row>
    <row r="64" spans="1:5" ht="16.5" hidden="1" thickBot="1">
      <c r="A64" s="326"/>
      <c r="B64" s="327"/>
      <c r="C64" s="323">
        <v>1</v>
      </c>
      <c r="D64" s="328"/>
      <c r="E64" s="329"/>
    </row>
    <row r="65" spans="1:12" ht="16.5" hidden="1" thickBot="1">
      <c r="A65" s="326"/>
      <c r="B65" s="327"/>
      <c r="C65" s="323">
        <v>1</v>
      </c>
      <c r="D65" s="328"/>
      <c r="E65" s="329"/>
    </row>
    <row r="66" spans="1:12" ht="16.5" hidden="1" thickBot="1">
      <c r="A66" s="326"/>
      <c r="B66" s="327"/>
      <c r="C66" s="323">
        <v>1</v>
      </c>
      <c r="D66" s="328"/>
      <c r="E66" s="329"/>
    </row>
    <row r="67" spans="1:12" ht="16.5" hidden="1" thickBot="1">
      <c r="A67" s="326"/>
      <c r="B67" s="327"/>
      <c r="C67" s="323">
        <v>1</v>
      </c>
      <c r="D67" s="328"/>
      <c r="E67" s="329"/>
    </row>
    <row r="68" spans="1:12" ht="16.5" hidden="1" thickBot="1">
      <c r="A68" s="326"/>
      <c r="B68" s="327"/>
      <c r="C68" s="323">
        <v>1</v>
      </c>
      <c r="D68" s="328"/>
      <c r="E68" s="329"/>
    </row>
    <row r="69" spans="1:12" ht="16.5" hidden="1" thickBot="1">
      <c r="A69" s="326"/>
      <c r="B69" s="327"/>
      <c r="C69" s="323">
        <v>1</v>
      </c>
      <c r="D69" s="328"/>
      <c r="E69" s="329"/>
    </row>
    <row r="70" spans="1:12" ht="16.5" hidden="1" thickBot="1">
      <c r="A70" s="326"/>
      <c r="B70" s="327"/>
      <c r="C70" s="323">
        <v>1</v>
      </c>
      <c r="D70" s="328"/>
      <c r="E70" s="329"/>
    </row>
    <row r="71" spans="1:12" ht="16.5" hidden="1" thickBot="1">
      <c r="A71" s="326"/>
      <c r="B71" s="327"/>
      <c r="C71" s="323">
        <v>1</v>
      </c>
      <c r="D71" s="328"/>
      <c r="E71" s="329"/>
    </row>
    <row r="72" spans="1:12" ht="16.5" hidden="1" thickBot="1">
      <c r="A72" s="326"/>
      <c r="B72" s="327"/>
      <c r="C72" s="323">
        <v>1</v>
      </c>
      <c r="D72" s="328"/>
      <c r="E72" s="329"/>
    </row>
    <row r="73" spans="1:12" ht="16.5" hidden="1" thickBot="1">
      <c r="A73" s="326"/>
      <c r="B73" s="327"/>
      <c r="C73" s="323">
        <v>1</v>
      </c>
      <c r="D73" s="328"/>
      <c r="E73" s="329"/>
    </row>
    <row r="74" spans="1:12" ht="16.5" hidden="1" thickBot="1">
      <c r="A74" s="326"/>
      <c r="B74" s="327"/>
      <c r="C74" s="323">
        <v>1</v>
      </c>
      <c r="D74" s="328"/>
      <c r="E74" s="329"/>
    </row>
    <row r="75" spans="1:12" ht="16.5" hidden="1" thickBot="1">
      <c r="A75" s="326"/>
      <c r="B75" s="327"/>
      <c r="C75" s="323">
        <v>1</v>
      </c>
      <c r="D75" s="328"/>
      <c r="E75" s="329"/>
    </row>
    <row r="76" spans="1:12" ht="16.5" hidden="1" thickBot="1">
      <c r="A76" s="326"/>
      <c r="B76" s="327"/>
      <c r="C76" s="323">
        <v>1</v>
      </c>
      <c r="D76" s="328"/>
      <c r="E76" s="329"/>
    </row>
    <row r="77" spans="1:12" ht="16.5" hidden="1" thickBot="1">
      <c r="A77" s="326"/>
      <c r="B77" s="327"/>
      <c r="C77" s="323">
        <v>1</v>
      </c>
      <c r="D77" s="328"/>
      <c r="E77" s="329"/>
    </row>
    <row r="78" spans="1:12" ht="16.5" hidden="1" thickBot="1">
      <c r="A78" s="326"/>
      <c r="B78" s="327"/>
      <c r="C78" s="323">
        <v>1</v>
      </c>
      <c r="D78" s="328"/>
      <c r="E78" s="329"/>
    </row>
    <row r="79" spans="1:12" ht="16.5" hidden="1" thickBot="1">
      <c r="A79" s="330"/>
      <c r="B79" s="331"/>
      <c r="C79" s="323">
        <v>1</v>
      </c>
      <c r="D79" s="332"/>
      <c r="E79" s="333"/>
    </row>
    <row r="80" spans="1:12" ht="17.25" thickTop="1" thickBot="1">
      <c r="A80" s="334"/>
      <c r="B80" s="335"/>
      <c r="C80" s="335"/>
      <c r="D80" s="335"/>
      <c r="E80" s="336">
        <f>SUM(E9:E79)</f>
        <v>0</v>
      </c>
      <c r="F80" s="302" t="s">
        <v>393</v>
      </c>
      <c r="G80" s="302"/>
      <c r="H80" s="302"/>
      <c r="I80" s="302"/>
      <c r="J80" s="302"/>
      <c r="K80" s="302"/>
      <c r="L80" s="302"/>
    </row>
    <row r="81" spans="1:5">
      <c r="A81" s="33"/>
      <c r="B81" s="33"/>
      <c r="C81" s="33"/>
      <c r="D81" s="33"/>
    </row>
    <row r="82" spans="1:5" hidden="1">
      <c r="A82" s="34" t="s">
        <v>81</v>
      </c>
      <c r="B82" s="35"/>
      <c r="C82" s="33"/>
      <c r="D82" s="33"/>
    </row>
    <row r="83" spans="1:5" hidden="1">
      <c r="A83" s="36" t="s">
        <v>82</v>
      </c>
      <c r="B83" s="37">
        <v>400</v>
      </c>
      <c r="C83" s="33"/>
      <c r="D83" s="33"/>
    </row>
    <row r="84" spans="1:5" hidden="1">
      <c r="A84" s="36" t="s">
        <v>83</v>
      </c>
      <c r="B84" s="37">
        <v>800</v>
      </c>
      <c r="C84" s="33"/>
      <c r="D84" s="33"/>
    </row>
    <row r="85" spans="1:5" hidden="1">
      <c r="A85" s="38" t="s">
        <v>84</v>
      </c>
      <c r="B85" s="39">
        <v>1600</v>
      </c>
      <c r="C85" s="33"/>
      <c r="D85" s="33"/>
    </row>
    <row r="86" spans="1:5" hidden="1"/>
    <row r="87" spans="1:5" ht="37.5" hidden="1" customHeight="1">
      <c r="A87" s="894" t="s">
        <v>85</v>
      </c>
      <c r="B87" s="894"/>
      <c r="C87" s="894"/>
      <c r="D87" s="894"/>
      <c r="E87" s="894"/>
    </row>
    <row r="88" spans="1:5" hidden="1"/>
    <row r="89" spans="1:5" hidden="1"/>
  </sheetData>
  <sheetProtection algorithmName="SHA-512" hashValue="L9TqZ03ll5amMK/9rE+OenQqHSbqjm2R+o93Rd4vrn6lz8+c/u9WbcHRLCY4bTEqSVZeqIH7ciBXHoPH3fNiog==" saltValue="jBMxrNxTpEH5If9wUQRiJA==" spinCount="100000" sheet="1" objects="1" scenarios="1"/>
  <mergeCells count="11">
    <mergeCell ref="A2:E2"/>
    <mergeCell ref="A1:E1"/>
    <mergeCell ref="A3:B3"/>
    <mergeCell ref="A4:B4"/>
    <mergeCell ref="A5:B5"/>
    <mergeCell ref="C3:E3"/>
    <mergeCell ref="A87:E87"/>
    <mergeCell ref="A6:B6"/>
    <mergeCell ref="C4:E4"/>
    <mergeCell ref="C5:E5"/>
    <mergeCell ref="C6:E6"/>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A26AFB-90C0-41AD-A3FA-4EFF1D1835B4}">
  <sheetPr>
    <tabColor rgb="FFFFC000"/>
    <pageSetUpPr fitToPage="1"/>
  </sheetPr>
  <dimension ref="A1:N36"/>
  <sheetViews>
    <sheetView topLeftCell="A12" zoomScaleNormal="100" zoomScalePageLayoutView="23" workbookViewId="0">
      <selection activeCell="F23" sqref="F23"/>
    </sheetView>
  </sheetViews>
  <sheetFormatPr defaultColWidth="9.33203125" defaultRowHeight="15"/>
  <cols>
    <col min="1" max="1" width="16.1640625" style="615" customWidth="1"/>
    <col min="2" max="2" width="47.5" style="656" customWidth="1"/>
    <col min="3" max="3" width="20.6640625" style="631" customWidth="1"/>
    <col min="4" max="4" width="30.1640625" style="631" bestFit="1" customWidth="1"/>
    <col min="5" max="5" width="22.6640625" style="632" customWidth="1"/>
    <col min="6" max="16384" width="9.33203125" style="615"/>
  </cols>
  <sheetData>
    <row r="1" spans="1:14" ht="75" customHeight="1" thickBot="1">
      <c r="A1" s="611"/>
      <c r="B1" s="612" t="s">
        <v>297</v>
      </c>
      <c r="C1" s="613"/>
      <c r="D1" s="613"/>
      <c r="E1" s="614" t="s">
        <v>839</v>
      </c>
    </row>
    <row r="2" spans="1:14" ht="19.5" thickBot="1">
      <c r="A2" s="911" t="s">
        <v>416</v>
      </c>
      <c r="B2" s="912"/>
      <c r="C2" s="912"/>
      <c r="D2" s="912"/>
      <c r="E2" s="913"/>
      <c r="J2" s="616"/>
    </row>
    <row r="3" spans="1:14" ht="21" customHeight="1" thickBot="1">
      <c r="A3" s="617" t="s">
        <v>250</v>
      </c>
      <c r="B3" s="914">
        <f>'[1]Data Sheet'!B5</f>
        <v>0</v>
      </c>
      <c r="C3" s="914"/>
      <c r="D3" s="618" t="s">
        <v>249</v>
      </c>
      <c r="E3" s="619" t="s">
        <v>28</v>
      </c>
      <c r="J3" s="620"/>
      <c r="K3" s="620"/>
      <c r="L3" s="620"/>
      <c r="M3" s="620"/>
      <c r="N3" s="620"/>
    </row>
    <row r="4" spans="1:14" ht="16.5" customHeight="1" thickBot="1">
      <c r="A4" s="621" t="s">
        <v>90</v>
      </c>
      <c r="B4" s="622">
        <f>'[1]Data Sheet'!B6</f>
        <v>0</v>
      </c>
      <c r="C4" s="915"/>
      <c r="D4" s="915"/>
      <c r="E4" s="916"/>
      <c r="J4" s="620"/>
      <c r="K4" s="620"/>
      <c r="L4" s="620"/>
      <c r="M4" s="620"/>
      <c r="N4" s="620"/>
    </row>
    <row r="5" spans="1:14" ht="16.5" customHeight="1" thickBot="1">
      <c r="A5" s="621" t="s">
        <v>196</v>
      </c>
      <c r="B5" s="622">
        <f>'[1]Data Sheet'!B7</f>
        <v>0</v>
      </c>
      <c r="C5" s="623" t="s">
        <v>248</v>
      </c>
      <c r="D5" s="917" t="s">
        <v>28</v>
      </c>
      <c r="E5" s="918"/>
      <c r="J5" s="620"/>
      <c r="K5" s="620"/>
      <c r="L5" s="620"/>
      <c r="M5" s="620"/>
      <c r="N5" s="620"/>
    </row>
    <row r="6" spans="1:14" ht="16.5" customHeight="1" thickBot="1">
      <c r="A6" s="624" t="s">
        <v>247</v>
      </c>
      <c r="B6" s="625">
        <f>'[1]Data Sheet'!B9</f>
        <v>0</v>
      </c>
      <c r="C6" s="626" t="s">
        <v>14</v>
      </c>
      <c r="D6" s="627"/>
      <c r="E6" s="628" t="s">
        <v>28</v>
      </c>
    </row>
    <row r="7" spans="1:14" ht="6.75" customHeight="1" thickBot="1">
      <c r="A7" s="629"/>
      <c r="B7" s="630"/>
    </row>
    <row r="8" spans="1:14" ht="15" customHeight="1" thickTop="1" thickBot="1">
      <c r="A8" s="919" t="s">
        <v>246</v>
      </c>
      <c r="B8" s="920"/>
      <c r="C8" s="633" t="s">
        <v>245</v>
      </c>
      <c r="D8" s="634" t="s">
        <v>244</v>
      </c>
      <c r="E8" s="635" t="s">
        <v>243</v>
      </c>
    </row>
    <row r="9" spans="1:14" ht="63.75" thickTop="1">
      <c r="A9" s="910" t="s">
        <v>402</v>
      </c>
      <c r="B9" s="910"/>
      <c r="C9" s="636" t="s">
        <v>817</v>
      </c>
      <c r="D9" s="637" t="s">
        <v>235</v>
      </c>
      <c r="E9" s="338">
        <v>0</v>
      </c>
    </row>
    <row r="10" spans="1:14" ht="31.5">
      <c r="A10" s="904" t="s">
        <v>242</v>
      </c>
      <c r="B10" s="904"/>
      <c r="C10" s="638" t="s">
        <v>818</v>
      </c>
      <c r="D10" s="639" t="s">
        <v>241</v>
      </c>
      <c r="E10" s="337">
        <v>0</v>
      </c>
    </row>
    <row r="11" spans="1:14" ht="51.75" customHeight="1">
      <c r="A11" s="904" t="s">
        <v>819</v>
      </c>
      <c r="B11" s="904"/>
      <c r="C11" s="638" t="s">
        <v>820</v>
      </c>
      <c r="D11" s="639" t="s">
        <v>240</v>
      </c>
      <c r="E11" s="337">
        <v>0</v>
      </c>
    </row>
    <row r="12" spans="1:14" ht="31.5">
      <c r="A12" s="904" t="s">
        <v>239</v>
      </c>
      <c r="B12" s="904"/>
      <c r="C12" s="638" t="s">
        <v>238</v>
      </c>
      <c r="D12" s="639" t="s">
        <v>237</v>
      </c>
      <c r="E12" s="337">
        <v>0</v>
      </c>
    </row>
    <row r="13" spans="1:14" s="641" customFormat="1" ht="31.5">
      <c r="A13" s="904" t="s">
        <v>403</v>
      </c>
      <c r="B13" s="904"/>
      <c r="C13" s="638" t="s">
        <v>821</v>
      </c>
      <c r="D13" s="640" t="s">
        <v>415</v>
      </c>
      <c r="E13" s="337">
        <v>0</v>
      </c>
    </row>
    <row r="14" spans="1:14" ht="47.25">
      <c r="A14" s="904" t="s">
        <v>404</v>
      </c>
      <c r="B14" s="904"/>
      <c r="C14" s="638" t="s">
        <v>822</v>
      </c>
      <c r="D14" s="640" t="s">
        <v>414</v>
      </c>
      <c r="E14" s="337">
        <v>0</v>
      </c>
    </row>
    <row r="15" spans="1:14" ht="31.5">
      <c r="A15" s="904" t="s">
        <v>405</v>
      </c>
      <c r="B15" s="904"/>
      <c r="C15" s="638" t="s">
        <v>823</v>
      </c>
      <c r="D15" s="639" t="s">
        <v>235</v>
      </c>
      <c r="E15" s="337">
        <v>0</v>
      </c>
    </row>
    <row r="16" spans="1:14" ht="31.5">
      <c r="A16" s="904" t="s">
        <v>406</v>
      </c>
      <c r="B16" s="904"/>
      <c r="C16" s="638" t="s">
        <v>823</v>
      </c>
      <c r="D16" s="639" t="s">
        <v>235</v>
      </c>
      <c r="E16" s="337">
        <v>0</v>
      </c>
    </row>
    <row r="17" spans="1:5" ht="31.5">
      <c r="A17" s="904" t="s">
        <v>407</v>
      </c>
      <c r="B17" s="904"/>
      <c r="C17" s="638" t="s">
        <v>824</v>
      </c>
      <c r="D17" s="639" t="s">
        <v>235</v>
      </c>
      <c r="E17" s="337">
        <v>0</v>
      </c>
    </row>
    <row r="18" spans="1:5" ht="31.5">
      <c r="A18" s="904" t="s">
        <v>408</v>
      </c>
      <c r="B18" s="904"/>
      <c r="C18" s="638" t="s">
        <v>825</v>
      </c>
      <c r="D18" s="640" t="s">
        <v>413</v>
      </c>
      <c r="E18" s="337">
        <v>0</v>
      </c>
    </row>
    <row r="19" spans="1:5" s="641" customFormat="1" ht="31.5">
      <c r="A19" s="904" t="s">
        <v>236</v>
      </c>
      <c r="B19" s="904"/>
      <c r="C19" s="638" t="s">
        <v>826</v>
      </c>
      <c r="D19" s="639" t="s">
        <v>235</v>
      </c>
      <c r="E19" s="337">
        <v>0</v>
      </c>
    </row>
    <row r="20" spans="1:5" ht="31.5">
      <c r="A20" s="904" t="s">
        <v>234</v>
      </c>
      <c r="B20" s="904"/>
      <c r="C20" s="638" t="s">
        <v>827</v>
      </c>
      <c r="D20" s="639" t="s">
        <v>233</v>
      </c>
      <c r="E20" s="337">
        <v>0</v>
      </c>
    </row>
    <row r="21" spans="1:5" ht="47.25">
      <c r="A21" s="904" t="s">
        <v>409</v>
      </c>
      <c r="B21" s="904"/>
      <c r="C21" s="638" t="s">
        <v>828</v>
      </c>
      <c r="D21" s="640" t="s">
        <v>412</v>
      </c>
      <c r="E21" s="337">
        <v>0</v>
      </c>
    </row>
    <row r="22" spans="1:5" ht="31.5" customHeight="1">
      <c r="A22" s="906" t="s">
        <v>840</v>
      </c>
      <c r="B22" s="907"/>
      <c r="C22" s="638" t="s">
        <v>841</v>
      </c>
      <c r="D22" s="640" t="s">
        <v>235</v>
      </c>
      <c r="E22" s="337">
        <v>0</v>
      </c>
    </row>
    <row r="23" spans="1:5" ht="31.5">
      <c r="A23" s="906" t="s">
        <v>667</v>
      </c>
      <c r="B23" s="907"/>
      <c r="C23" s="638" t="s">
        <v>842</v>
      </c>
      <c r="D23" s="640" t="s">
        <v>235</v>
      </c>
      <c r="E23" s="337">
        <v>0</v>
      </c>
    </row>
    <row r="24" spans="1:5" ht="34.5" customHeight="1">
      <c r="A24" s="908" t="s">
        <v>843</v>
      </c>
      <c r="B24" s="909"/>
      <c r="C24" s="638" t="s">
        <v>844</v>
      </c>
      <c r="D24" s="640" t="s">
        <v>235</v>
      </c>
      <c r="E24" s="337">
        <v>0</v>
      </c>
    </row>
    <row r="25" spans="1:5" s="641" customFormat="1" ht="15.75">
      <c r="A25" s="904" t="s">
        <v>232</v>
      </c>
      <c r="B25" s="904"/>
      <c r="C25" s="638" t="s">
        <v>829</v>
      </c>
      <c r="D25" s="639" t="s">
        <v>411</v>
      </c>
      <c r="E25" s="337">
        <v>0</v>
      </c>
    </row>
    <row r="26" spans="1:5" ht="15.75">
      <c r="A26" s="904" t="s">
        <v>410</v>
      </c>
      <c r="B26" s="904"/>
      <c r="C26" s="642"/>
      <c r="D26" s="639" t="s">
        <v>231</v>
      </c>
      <c r="E26" s="337">
        <v>0</v>
      </c>
    </row>
    <row r="27" spans="1:5" ht="15.75">
      <c r="A27" s="904" t="s">
        <v>230</v>
      </c>
      <c r="B27" s="904"/>
      <c r="C27" s="642"/>
      <c r="D27" s="639" t="s">
        <v>411</v>
      </c>
      <c r="E27" s="337">
        <v>0</v>
      </c>
    </row>
    <row r="28" spans="1:5" ht="15.75">
      <c r="A28" s="904" t="s">
        <v>229</v>
      </c>
      <c r="B28" s="904"/>
      <c r="C28" s="642"/>
      <c r="D28" s="643" t="s">
        <v>228</v>
      </c>
      <c r="E28" s="337">
        <v>0</v>
      </c>
    </row>
    <row r="29" spans="1:5" ht="15.75">
      <c r="A29" s="904" t="s">
        <v>227</v>
      </c>
      <c r="B29" s="904"/>
      <c r="C29" s="638"/>
      <c r="D29" s="644"/>
      <c r="E29" s="337">
        <v>0</v>
      </c>
    </row>
    <row r="30" spans="1:5" ht="15.75">
      <c r="A30" s="645"/>
      <c r="B30" s="646"/>
      <c r="C30" s="647"/>
      <c r="D30" s="648" t="s">
        <v>226</v>
      </c>
      <c r="E30" s="649"/>
    </row>
    <row r="31" spans="1:5" ht="6.75" customHeight="1">
      <c r="B31" s="650"/>
    </row>
    <row r="32" spans="1:5" s="652" customFormat="1" ht="20.100000000000001" customHeight="1">
      <c r="A32" s="651" t="s">
        <v>225</v>
      </c>
      <c r="C32" s="653"/>
      <c r="D32" s="653"/>
      <c r="E32" s="654"/>
    </row>
    <row r="33" spans="1:6" s="652" customFormat="1" ht="32.25" customHeight="1">
      <c r="A33" s="905" t="s">
        <v>224</v>
      </c>
      <c r="B33" s="905"/>
      <c r="C33" s="905"/>
      <c r="D33" s="905"/>
      <c r="E33" s="905"/>
    </row>
    <row r="34" spans="1:6" s="652" customFormat="1" ht="33" customHeight="1">
      <c r="A34" s="905" t="s">
        <v>223</v>
      </c>
      <c r="B34" s="905"/>
      <c r="C34" s="905"/>
      <c r="D34" s="905"/>
      <c r="E34" s="905"/>
      <c r="F34" s="655"/>
    </row>
    <row r="35" spans="1:6" s="652" customFormat="1" ht="20.100000000000001" customHeight="1">
      <c r="A35" s="651" t="s">
        <v>222</v>
      </c>
      <c r="C35" s="653"/>
      <c r="D35" s="653"/>
      <c r="E35" s="654"/>
    </row>
    <row r="36" spans="1:6" s="652" customFormat="1" ht="20.100000000000001" customHeight="1">
      <c r="A36" s="651" t="s">
        <v>221</v>
      </c>
      <c r="C36" s="653"/>
      <c r="D36" s="653"/>
      <c r="E36" s="654"/>
    </row>
  </sheetData>
  <mergeCells count="28">
    <mergeCell ref="A9:B9"/>
    <mergeCell ref="A2:E2"/>
    <mergeCell ref="B3:C3"/>
    <mergeCell ref="C4:E4"/>
    <mergeCell ref="D5:E5"/>
    <mergeCell ref="A8:B8"/>
    <mergeCell ref="A21:B21"/>
    <mergeCell ref="A10:B10"/>
    <mergeCell ref="A11:B11"/>
    <mergeCell ref="A12:B12"/>
    <mergeCell ref="A13:B13"/>
    <mergeCell ref="A14:B14"/>
    <mergeCell ref="A15:B15"/>
    <mergeCell ref="A16:B16"/>
    <mergeCell ref="A17:B17"/>
    <mergeCell ref="A18:B18"/>
    <mergeCell ref="A19:B19"/>
    <mergeCell ref="A20:B20"/>
    <mergeCell ref="A28:B28"/>
    <mergeCell ref="A29:B29"/>
    <mergeCell ref="A33:E33"/>
    <mergeCell ref="A34:E34"/>
    <mergeCell ref="A22:B22"/>
    <mergeCell ref="A23:B23"/>
    <mergeCell ref="A24:B24"/>
    <mergeCell ref="A25:B25"/>
    <mergeCell ref="A26:B26"/>
    <mergeCell ref="A27:B27"/>
  </mergeCells>
  <pageMargins left="0.7" right="0.2" top="0.5" bottom="0.5" header="0.3" footer="0.3"/>
  <pageSetup scale="78" orientation="portrait" r:id="rId1"/>
  <headerFooter>
    <oddFooter>&amp;C&amp;8&amp;Z&amp;F</oddFooter>
  </headerFooter>
  <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B09D0F-67B5-4F30-B2B9-B3F3F9B67230}">
  <sheetPr>
    <pageSetUpPr fitToPage="1"/>
  </sheetPr>
  <dimension ref="A1:X281"/>
  <sheetViews>
    <sheetView showGridLines="0" zoomScaleNormal="100" zoomScaleSheetLayoutView="80" workbookViewId="0">
      <selection activeCell="M34" sqref="M34"/>
    </sheetView>
  </sheetViews>
  <sheetFormatPr defaultRowHeight="12.75"/>
  <cols>
    <col min="1" max="1" width="43.6640625" style="342" customWidth="1"/>
    <col min="2" max="2" width="17.83203125" style="342" customWidth="1"/>
    <col min="3" max="3" width="15.6640625" style="342" customWidth="1"/>
    <col min="4" max="4" width="13" style="342" customWidth="1"/>
    <col min="5" max="5" width="14.33203125" style="342" customWidth="1"/>
    <col min="6" max="6" width="11.33203125" style="342" customWidth="1"/>
    <col min="7" max="7" width="2.83203125" style="342" customWidth="1"/>
    <col min="8" max="8" width="13.5" style="342" customWidth="1"/>
    <col min="9" max="9" width="14.33203125" style="342" customWidth="1"/>
    <col min="10" max="10" width="12.33203125" style="342" customWidth="1"/>
    <col min="11" max="11" width="15.6640625" style="342" bestFit="1" customWidth="1"/>
    <col min="12" max="12" width="16.83203125" style="342" bestFit="1" customWidth="1"/>
    <col min="13" max="13" width="16.5" style="342" customWidth="1"/>
    <col min="14" max="14" width="15.33203125" style="342" customWidth="1"/>
    <col min="15" max="15" width="11.5" style="342" bestFit="1" customWidth="1"/>
    <col min="16" max="16" width="13.6640625" style="342" customWidth="1"/>
    <col min="17" max="17" width="10.33203125" style="342" bestFit="1" customWidth="1"/>
    <col min="18" max="16384" width="9.33203125" style="342"/>
  </cols>
  <sheetData>
    <row r="1" spans="1:24" ht="15.75">
      <c r="A1" s="341" t="s">
        <v>417</v>
      </c>
    </row>
    <row r="2" spans="1:24">
      <c r="O2" s="924" t="s">
        <v>418</v>
      </c>
      <c r="P2" s="924"/>
    </row>
    <row r="3" spans="1:24">
      <c r="A3" s="343" t="s">
        <v>419</v>
      </c>
      <c r="B3" s="344"/>
      <c r="P3" s="345">
        <v>1.0077</v>
      </c>
    </row>
    <row r="4" spans="1:24">
      <c r="B4" s="346" t="s">
        <v>420</v>
      </c>
      <c r="C4" s="347"/>
      <c r="D4" s="346"/>
      <c r="E4" s="346"/>
    </row>
    <row r="5" spans="1:24" s="351" customFormat="1" ht="25.5">
      <c r="A5" s="348" t="s">
        <v>421</v>
      </c>
      <c r="B5" s="349" t="s">
        <v>422</v>
      </c>
      <c r="C5" s="349" t="s">
        <v>423</v>
      </c>
      <c r="D5" s="349" t="s">
        <v>424</v>
      </c>
      <c r="E5" s="350" t="s">
        <v>425</v>
      </c>
      <c r="F5" s="348" t="s">
        <v>426</v>
      </c>
      <c r="P5" s="352">
        <v>0.05</v>
      </c>
      <c r="Q5" s="342" t="s">
        <v>427</v>
      </c>
    </row>
    <row r="6" spans="1:24">
      <c r="A6" s="353" t="s">
        <v>428</v>
      </c>
      <c r="B6" s="354">
        <v>11849</v>
      </c>
      <c r="C6" s="354">
        <v>12899</v>
      </c>
      <c r="D6" s="355">
        <f>+C6-B6</f>
        <v>1050</v>
      </c>
      <c r="E6" s="356">
        <f>+D6/B6</f>
        <v>8.8615073001941089E-2</v>
      </c>
      <c r="F6" s="357" t="s">
        <v>429</v>
      </c>
    </row>
    <row r="7" spans="1:24" ht="13.5" thickBot="1">
      <c r="A7" s="353" t="s">
        <v>430</v>
      </c>
      <c r="B7" s="354">
        <v>12112</v>
      </c>
      <c r="C7" s="354">
        <v>13111</v>
      </c>
      <c r="D7" s="355">
        <f>+C7-B7</f>
        <v>999</v>
      </c>
      <c r="E7" s="356">
        <f>+D7/B7</f>
        <v>8.2480184940554827E-2</v>
      </c>
      <c r="F7" s="357" t="s">
        <v>431</v>
      </c>
    </row>
    <row r="8" spans="1:24">
      <c r="A8" s="358" t="s">
        <v>432</v>
      </c>
      <c r="B8" s="359">
        <v>0</v>
      </c>
      <c r="C8" s="359">
        <v>0</v>
      </c>
      <c r="D8" s="360">
        <f>+C8-B8</f>
        <v>0</v>
      </c>
      <c r="E8" s="361">
        <v>0</v>
      </c>
      <c r="F8" s="358" t="s">
        <v>433</v>
      </c>
      <c r="G8" s="358"/>
      <c r="H8" s="358"/>
      <c r="I8" s="358"/>
      <c r="J8" s="358"/>
      <c r="K8" s="358"/>
      <c r="L8" s="358"/>
      <c r="N8" s="362" t="s">
        <v>434</v>
      </c>
      <c r="O8" s="363"/>
      <c r="P8" s="363"/>
      <c r="Q8" s="363"/>
      <c r="R8" s="363"/>
      <c r="S8" s="363"/>
      <c r="T8" s="363"/>
      <c r="U8" s="363"/>
      <c r="V8" s="363"/>
      <c r="W8" s="363"/>
      <c r="X8" s="364"/>
    </row>
    <row r="9" spans="1:24">
      <c r="A9" s="365" t="s">
        <v>435</v>
      </c>
      <c r="B9" s="366">
        <f>B6</f>
        <v>11849</v>
      </c>
      <c r="C9" s="367">
        <f>C6</f>
        <v>12899</v>
      </c>
      <c r="D9" s="355">
        <f>+C9-B9</f>
        <v>1050</v>
      </c>
      <c r="E9" s="356">
        <f>+D9/B9</f>
        <v>8.8615073001941089E-2</v>
      </c>
      <c r="F9" s="368" t="s">
        <v>436</v>
      </c>
      <c r="G9" s="365"/>
      <c r="H9" s="365"/>
      <c r="I9" s="365"/>
      <c r="J9" s="365"/>
      <c r="K9" s="365"/>
      <c r="L9" s="365"/>
      <c r="N9" s="369" t="s">
        <v>437</v>
      </c>
      <c r="O9" s="370"/>
      <c r="P9" s="370"/>
      <c r="X9" s="371"/>
    </row>
    <row r="10" spans="1:24">
      <c r="A10" s="342" t="s">
        <v>438</v>
      </c>
      <c r="B10" s="372">
        <v>311.51</v>
      </c>
      <c r="C10" s="373">
        <f>B10*(1+P5)</f>
        <v>327.08550000000002</v>
      </c>
      <c r="D10" s="374">
        <f>+C10-B10</f>
        <v>15.575500000000034</v>
      </c>
      <c r="E10" s="356">
        <f>+D10/B10</f>
        <v>5.0000000000000107E-2</v>
      </c>
      <c r="F10" s="357" t="s">
        <v>439</v>
      </c>
      <c r="N10" s="375" t="s">
        <v>440</v>
      </c>
      <c r="O10" s="376"/>
      <c r="P10" s="376"/>
      <c r="Q10" s="376"/>
      <c r="X10" s="371"/>
    </row>
    <row r="11" spans="1:24">
      <c r="N11" s="377" t="s">
        <v>441</v>
      </c>
      <c r="X11" s="371"/>
    </row>
    <row r="12" spans="1:24">
      <c r="A12" s="342" t="s">
        <v>442</v>
      </c>
      <c r="N12" s="377" t="s">
        <v>443</v>
      </c>
      <c r="X12" s="371"/>
    </row>
    <row r="13" spans="1:24" ht="13.5" thickBot="1">
      <c r="A13" s="378" t="s">
        <v>444</v>
      </c>
      <c r="N13" s="379" t="s">
        <v>445</v>
      </c>
      <c r="O13" s="380"/>
      <c r="P13" s="380"/>
      <c r="Q13" s="380"/>
      <c r="R13" s="380"/>
      <c r="S13" s="380"/>
      <c r="T13" s="380"/>
      <c r="U13" s="380"/>
      <c r="V13" s="380"/>
      <c r="W13" s="380"/>
      <c r="X13" s="381"/>
    </row>
    <row r="14" spans="1:24">
      <c r="A14" s="370" t="s">
        <v>446</v>
      </c>
      <c r="B14" s="370"/>
      <c r="C14" s="370"/>
      <c r="D14" s="370"/>
      <c r="E14" s="370"/>
      <c r="F14" s="370"/>
      <c r="G14" s="370"/>
      <c r="H14" s="370"/>
    </row>
    <row r="16" spans="1:24" s="382" customFormat="1"/>
    <row r="17" spans="1:19">
      <c r="A17" s="343" t="s">
        <v>447</v>
      </c>
      <c r="C17" s="383"/>
      <c r="D17" s="383"/>
      <c r="E17" s="383"/>
      <c r="F17" s="383"/>
      <c r="G17" s="383"/>
      <c r="H17" s="383"/>
      <c r="I17" s="383"/>
      <c r="J17" s="383"/>
      <c r="K17" s="384"/>
      <c r="L17" s="383"/>
    </row>
    <row r="18" spans="1:19" ht="12.75" customHeight="1">
      <c r="A18" s="376"/>
      <c r="B18" s="385" t="s">
        <v>448</v>
      </c>
      <c r="C18" s="385" t="s">
        <v>449</v>
      </c>
      <c r="E18" s="386"/>
      <c r="F18" s="386"/>
      <c r="G18" s="386"/>
      <c r="H18" s="386"/>
      <c r="I18" s="386"/>
      <c r="J18" s="386"/>
      <c r="K18" s="386"/>
      <c r="L18" s="386"/>
    </row>
    <row r="19" spans="1:19" ht="12.75" customHeight="1" thickBot="1">
      <c r="A19" s="376" t="s">
        <v>450</v>
      </c>
      <c r="B19" s="387">
        <v>14907600</v>
      </c>
      <c r="C19" s="388">
        <f>+B19/B22</f>
        <v>1</v>
      </c>
      <c r="D19" s="370"/>
      <c r="E19" s="386"/>
      <c r="F19" s="386"/>
      <c r="G19" s="386"/>
      <c r="H19" s="386"/>
      <c r="I19" s="386"/>
      <c r="J19" s="386"/>
      <c r="K19" s="386"/>
      <c r="L19" s="386"/>
    </row>
    <row r="20" spans="1:19" ht="12.75" customHeight="1">
      <c r="A20" s="376" t="s">
        <v>432</v>
      </c>
      <c r="B20" s="388">
        <v>0</v>
      </c>
      <c r="C20" s="388">
        <f>+B20/B22</f>
        <v>0</v>
      </c>
      <c r="D20" s="386"/>
      <c r="E20" s="386"/>
      <c r="F20" s="386"/>
      <c r="G20" s="386"/>
      <c r="H20" s="386"/>
      <c r="I20" s="386"/>
      <c r="J20" s="386"/>
      <c r="K20" s="386"/>
      <c r="L20" s="386"/>
      <c r="N20" s="392" t="s">
        <v>453</v>
      </c>
      <c r="O20" s="363"/>
      <c r="P20" s="363"/>
      <c r="Q20" s="363"/>
      <c r="R20" s="363"/>
      <c r="S20" s="364"/>
    </row>
    <row r="21" spans="1:19" ht="12.75" customHeight="1">
      <c r="A21" s="376" t="s">
        <v>438</v>
      </c>
      <c r="B21" s="388">
        <v>0</v>
      </c>
      <c r="C21" s="388">
        <f>+B21/B22</f>
        <v>0</v>
      </c>
      <c r="D21" s="386"/>
      <c r="E21" s="386"/>
      <c r="F21" s="386"/>
      <c r="G21" s="386"/>
      <c r="H21" s="386"/>
      <c r="I21" s="386"/>
      <c r="J21" s="386"/>
      <c r="K21" s="386"/>
      <c r="L21" s="386"/>
      <c r="N21" s="395" t="s">
        <v>456</v>
      </c>
      <c r="S21" s="371"/>
    </row>
    <row r="22" spans="1:19" ht="13.5" customHeight="1" thickBot="1">
      <c r="A22" s="389" t="s">
        <v>451</v>
      </c>
      <c r="B22" s="390">
        <f>SUM(B19:B21)</f>
        <v>14907600</v>
      </c>
      <c r="C22" s="390">
        <f>SUM(C19:C21)</f>
        <v>1</v>
      </c>
      <c r="D22" s="386"/>
      <c r="E22" s="386"/>
      <c r="F22" s="386"/>
      <c r="G22" s="386"/>
      <c r="H22" s="386"/>
      <c r="I22" s="386"/>
      <c r="J22" s="386"/>
      <c r="K22" s="386"/>
      <c r="L22" s="386"/>
      <c r="N22" s="395" t="s">
        <v>461</v>
      </c>
      <c r="S22" s="371"/>
    </row>
    <row r="23" spans="1:19" ht="13.5" thickTop="1">
      <c r="A23" s="391" t="s">
        <v>452</v>
      </c>
      <c r="B23" s="386"/>
      <c r="C23" s="386"/>
      <c r="D23" s="386"/>
      <c r="E23" s="386"/>
      <c r="F23" s="386"/>
      <c r="G23" s="386"/>
      <c r="H23" s="386"/>
      <c r="I23" s="386"/>
      <c r="J23" s="386"/>
      <c r="K23" s="386"/>
      <c r="L23" s="386"/>
      <c r="N23" s="395" t="s">
        <v>462</v>
      </c>
      <c r="S23" s="371"/>
    </row>
    <row r="24" spans="1:19" ht="13.5" thickBot="1">
      <c r="B24" s="386"/>
      <c r="C24" s="386"/>
      <c r="D24" s="393" t="s">
        <v>454</v>
      </c>
      <c r="E24" s="393"/>
      <c r="F24" s="393"/>
      <c r="G24" s="388"/>
      <c r="H24" s="921" t="s">
        <v>455</v>
      </c>
      <c r="I24" s="921"/>
      <c r="J24" s="921"/>
      <c r="K24" s="922" t="str">
        <f>$K$133</f>
        <v>Effective 7/21/22</v>
      </c>
      <c r="L24" s="922"/>
      <c r="N24" s="405" t="s">
        <v>465</v>
      </c>
      <c r="O24" s="380"/>
      <c r="P24" s="380"/>
      <c r="Q24" s="380"/>
      <c r="R24" s="380"/>
      <c r="S24" s="381"/>
    </row>
    <row r="25" spans="1:19">
      <c r="B25" s="396" t="s">
        <v>457</v>
      </c>
      <c r="C25" s="397"/>
      <c r="D25" s="385" t="s">
        <v>458</v>
      </c>
      <c r="E25" s="385" t="s">
        <v>459</v>
      </c>
      <c r="F25" s="385" t="s">
        <v>460</v>
      </c>
      <c r="G25" s="388"/>
      <c r="H25" s="385" t="s">
        <v>458</v>
      </c>
      <c r="I25" s="385" t="s">
        <v>459</v>
      </c>
      <c r="J25" s="385" t="s">
        <v>460</v>
      </c>
      <c r="L25" s="397"/>
    </row>
    <row r="26" spans="1:19">
      <c r="A26" s="485" t="s">
        <v>565</v>
      </c>
    </row>
    <row r="27" spans="1:19">
      <c r="A27" s="400" t="s">
        <v>463</v>
      </c>
      <c r="B27" s="401">
        <v>2892</v>
      </c>
      <c r="C27" s="402" t="s">
        <v>464</v>
      </c>
      <c r="D27" s="388">
        <f>B27</f>
        <v>2892</v>
      </c>
      <c r="E27" s="388">
        <v>0</v>
      </c>
      <c r="F27" s="388">
        <v>0</v>
      </c>
      <c r="G27" s="388"/>
      <c r="H27" s="388">
        <f>D27*(1+$E$7)</f>
        <v>3130.5326948480842</v>
      </c>
      <c r="I27" s="388">
        <f>+E27*(1+$E$9)</f>
        <v>0</v>
      </c>
      <c r="J27" s="388">
        <f>F27*(1+$E$10)</f>
        <v>0</v>
      </c>
      <c r="K27" s="403">
        <f>SUM(H27:J27)</f>
        <v>3130.5326948480842</v>
      </c>
      <c r="L27" s="404" t="s">
        <v>464</v>
      </c>
    </row>
    <row r="28" spans="1:19">
      <c r="A28" s="486" t="s">
        <v>566</v>
      </c>
      <c r="B28" s="401">
        <v>4337</v>
      </c>
      <c r="C28" s="402" t="s">
        <v>464</v>
      </c>
      <c r="D28" s="388">
        <f>B28</f>
        <v>4337</v>
      </c>
      <c r="E28" s="388">
        <v>0</v>
      </c>
      <c r="F28" s="388">
        <v>0</v>
      </c>
      <c r="G28" s="388"/>
      <c r="H28" s="388">
        <f>D28*(1+$E$7)</f>
        <v>4694.7165620871856</v>
      </c>
      <c r="I28" s="388">
        <f>+E28*(1+$E$9)</f>
        <v>0</v>
      </c>
      <c r="J28" s="388">
        <f>F28*(1+$E$10)</f>
        <v>0</v>
      </c>
      <c r="K28" s="403">
        <f>SUM(H28:J28)</f>
        <v>4694.7165620871856</v>
      </c>
      <c r="L28" s="404" t="s">
        <v>464</v>
      </c>
    </row>
    <row r="29" spans="1:19">
      <c r="A29" s="400" t="s">
        <v>466</v>
      </c>
      <c r="B29" s="401">
        <v>0</v>
      </c>
      <c r="C29" s="402" t="s">
        <v>464</v>
      </c>
      <c r="D29" s="388">
        <f t="shared" ref="D29:D43" si="0">B29</f>
        <v>0</v>
      </c>
      <c r="E29" s="388">
        <v>0</v>
      </c>
      <c r="F29" s="388">
        <v>0</v>
      </c>
      <c r="G29" s="388"/>
      <c r="H29" s="388">
        <f>D29*(1+$E$7)</f>
        <v>0</v>
      </c>
      <c r="I29" s="388">
        <v>0</v>
      </c>
      <c r="J29" s="388">
        <v>0</v>
      </c>
      <c r="K29" s="403">
        <f t="shared" ref="K29" si="1">SUM(H29:J29)</f>
        <v>0</v>
      </c>
      <c r="L29" s="404" t="s">
        <v>464</v>
      </c>
    </row>
    <row r="30" spans="1:19">
      <c r="A30" s="487" t="s">
        <v>467</v>
      </c>
      <c r="B30" s="401"/>
      <c r="C30" s="402"/>
      <c r="D30" s="388"/>
      <c r="E30" s="388"/>
      <c r="F30" s="388"/>
      <c r="G30" s="388"/>
      <c r="H30" s="388"/>
      <c r="I30" s="388"/>
      <c r="J30" s="388"/>
      <c r="K30" s="403"/>
      <c r="L30" s="404"/>
    </row>
    <row r="31" spans="1:19">
      <c r="A31" s="487" t="s">
        <v>468</v>
      </c>
      <c r="B31" s="401">
        <v>2212</v>
      </c>
      <c r="C31" s="402" t="s">
        <v>464</v>
      </c>
      <c r="D31" s="388">
        <f t="shared" si="0"/>
        <v>2212</v>
      </c>
      <c r="E31" s="388">
        <v>0</v>
      </c>
      <c r="F31" s="388">
        <v>0</v>
      </c>
      <c r="G31" s="388"/>
      <c r="H31" s="388">
        <f>D31*(1+$E$7)</f>
        <v>2394.4461690885073</v>
      </c>
      <c r="I31" s="388">
        <v>0</v>
      </c>
      <c r="J31" s="388">
        <v>0</v>
      </c>
      <c r="K31" s="403">
        <f>SUM(H31:J31)</f>
        <v>2394.4461690885073</v>
      </c>
      <c r="L31" s="404" t="s">
        <v>464</v>
      </c>
    </row>
    <row r="32" spans="1:19">
      <c r="A32" s="353" t="s">
        <v>469</v>
      </c>
      <c r="B32" s="401"/>
      <c r="C32" s="406"/>
      <c r="D32" s="385"/>
      <c r="E32" s="385"/>
      <c r="F32" s="385"/>
      <c r="G32" s="388"/>
      <c r="H32" s="385"/>
      <c r="I32" s="385"/>
      <c r="J32" s="385"/>
      <c r="K32" s="403"/>
      <c r="L32" s="407"/>
    </row>
    <row r="33" spans="1:12">
      <c r="A33" s="378" t="s">
        <v>470</v>
      </c>
      <c r="B33" s="401">
        <v>7229</v>
      </c>
      <c r="C33" s="402" t="s">
        <v>471</v>
      </c>
      <c r="D33" s="388">
        <f t="shared" si="0"/>
        <v>7229</v>
      </c>
      <c r="E33" s="388">
        <v>0</v>
      </c>
      <c r="F33" s="388">
        <v>0</v>
      </c>
      <c r="G33" s="388"/>
      <c r="H33" s="388">
        <f t="shared" ref="H33:H39" si="2">D33*(1+$E$7)</f>
        <v>7825.2492569352708</v>
      </c>
      <c r="I33" s="388">
        <f t="shared" ref="I33:I39" si="3">+E33*(1+$E$9)</f>
        <v>0</v>
      </c>
      <c r="J33" s="388">
        <f t="shared" ref="J33:J39" si="4">F33*(1+$E$10)</f>
        <v>0</v>
      </c>
      <c r="K33" s="403">
        <f t="shared" ref="K33:K39" si="5">SUM(H33:J33)</f>
        <v>7825.2492569352708</v>
      </c>
      <c r="L33" s="404" t="s">
        <v>471</v>
      </c>
    </row>
    <row r="34" spans="1:12">
      <c r="A34" s="378" t="s">
        <v>472</v>
      </c>
      <c r="B34" s="401">
        <v>14458</v>
      </c>
      <c r="C34" s="402" t="s">
        <v>471</v>
      </c>
      <c r="D34" s="388">
        <f t="shared" si="0"/>
        <v>14458</v>
      </c>
      <c r="E34" s="388">
        <v>0</v>
      </c>
      <c r="F34" s="388">
        <v>0</v>
      </c>
      <c r="G34" s="388"/>
      <c r="H34" s="388">
        <f t="shared" si="2"/>
        <v>15650.498513870542</v>
      </c>
      <c r="I34" s="388">
        <f t="shared" si="3"/>
        <v>0</v>
      </c>
      <c r="J34" s="388">
        <f t="shared" si="4"/>
        <v>0</v>
      </c>
      <c r="K34" s="403">
        <f t="shared" si="5"/>
        <v>15650.498513870542</v>
      </c>
      <c r="L34" s="404" t="s">
        <v>471</v>
      </c>
    </row>
    <row r="35" spans="1:12">
      <c r="A35" s="378" t="s">
        <v>473</v>
      </c>
      <c r="B35" s="401">
        <v>23133</v>
      </c>
      <c r="C35" s="402" t="s">
        <v>471</v>
      </c>
      <c r="D35" s="388">
        <f t="shared" si="0"/>
        <v>23133</v>
      </c>
      <c r="E35" s="388">
        <v>0</v>
      </c>
      <c r="F35" s="388">
        <v>0</v>
      </c>
      <c r="G35" s="388"/>
      <c r="H35" s="388">
        <f t="shared" si="2"/>
        <v>25041.014118229854</v>
      </c>
      <c r="I35" s="388">
        <f t="shared" si="3"/>
        <v>0</v>
      </c>
      <c r="J35" s="388">
        <f t="shared" si="4"/>
        <v>0</v>
      </c>
      <c r="K35" s="403">
        <f t="shared" si="5"/>
        <v>25041.014118229854</v>
      </c>
      <c r="L35" s="404" t="s">
        <v>471</v>
      </c>
    </row>
    <row r="36" spans="1:12">
      <c r="A36" s="378" t="s">
        <v>474</v>
      </c>
      <c r="B36" s="401">
        <v>43374</v>
      </c>
      <c r="C36" s="402" t="s">
        <v>471</v>
      </c>
      <c r="D36" s="388">
        <f t="shared" si="0"/>
        <v>43374</v>
      </c>
      <c r="E36" s="388">
        <v>0</v>
      </c>
      <c r="F36" s="388">
        <v>0</v>
      </c>
      <c r="G36" s="388"/>
      <c r="H36" s="388">
        <f t="shared" si="2"/>
        <v>46951.495541611621</v>
      </c>
      <c r="I36" s="388">
        <f t="shared" si="3"/>
        <v>0</v>
      </c>
      <c r="J36" s="388">
        <f t="shared" si="4"/>
        <v>0</v>
      </c>
      <c r="K36" s="403">
        <f t="shared" si="5"/>
        <v>46951.495541611621</v>
      </c>
      <c r="L36" s="404" t="s">
        <v>471</v>
      </c>
    </row>
    <row r="37" spans="1:12">
      <c r="A37" s="378" t="s">
        <v>475</v>
      </c>
      <c r="B37" s="401">
        <v>72290</v>
      </c>
      <c r="C37" s="402" t="s">
        <v>471</v>
      </c>
      <c r="D37" s="388">
        <f t="shared" si="0"/>
        <v>72290</v>
      </c>
      <c r="E37" s="388">
        <v>0</v>
      </c>
      <c r="F37" s="388">
        <v>0</v>
      </c>
      <c r="G37" s="388"/>
      <c r="H37" s="388">
        <f t="shared" si="2"/>
        <v>78252.492569352704</v>
      </c>
      <c r="I37" s="388">
        <f t="shared" si="3"/>
        <v>0</v>
      </c>
      <c r="J37" s="388">
        <f t="shared" si="4"/>
        <v>0</v>
      </c>
      <c r="K37" s="403">
        <f t="shared" si="5"/>
        <v>78252.492569352704</v>
      </c>
      <c r="L37" s="404" t="s">
        <v>471</v>
      </c>
    </row>
    <row r="38" spans="1:12">
      <c r="A38" s="378" t="s">
        <v>476</v>
      </c>
      <c r="B38" s="401">
        <v>144580</v>
      </c>
      <c r="C38" s="402" t="s">
        <v>471</v>
      </c>
      <c r="D38" s="388">
        <f t="shared" si="0"/>
        <v>144580</v>
      </c>
      <c r="E38" s="388">
        <v>0</v>
      </c>
      <c r="F38" s="388">
        <v>0</v>
      </c>
      <c r="G38" s="388"/>
      <c r="H38" s="388">
        <f t="shared" si="2"/>
        <v>156504.98513870541</v>
      </c>
      <c r="I38" s="388">
        <f t="shared" si="3"/>
        <v>0</v>
      </c>
      <c r="J38" s="388">
        <f t="shared" si="4"/>
        <v>0</v>
      </c>
      <c r="K38" s="403">
        <f t="shared" si="5"/>
        <v>156504.98513870541</v>
      </c>
      <c r="L38" s="404" t="s">
        <v>471</v>
      </c>
    </row>
    <row r="39" spans="1:12">
      <c r="A39" s="378" t="s">
        <v>477</v>
      </c>
      <c r="B39" s="401">
        <v>231328</v>
      </c>
      <c r="C39" s="402" t="s">
        <v>471</v>
      </c>
      <c r="D39" s="388">
        <f t="shared" si="0"/>
        <v>231328</v>
      </c>
      <c r="E39" s="388">
        <v>0</v>
      </c>
      <c r="F39" s="388">
        <v>0</v>
      </c>
      <c r="G39" s="388"/>
      <c r="H39" s="388">
        <f t="shared" si="2"/>
        <v>250407.97622192866</v>
      </c>
      <c r="I39" s="388">
        <f t="shared" si="3"/>
        <v>0</v>
      </c>
      <c r="J39" s="388">
        <f t="shared" si="4"/>
        <v>0</v>
      </c>
      <c r="K39" s="403">
        <f t="shared" si="5"/>
        <v>250407.97622192866</v>
      </c>
      <c r="L39" s="404" t="s">
        <v>471</v>
      </c>
    </row>
    <row r="40" spans="1:12">
      <c r="A40" s="378" t="s">
        <v>478</v>
      </c>
      <c r="B40" s="401"/>
      <c r="C40" s="402"/>
      <c r="D40" s="388"/>
      <c r="E40" s="388"/>
      <c r="F40" s="388"/>
      <c r="G40" s="388"/>
      <c r="H40" s="388"/>
      <c r="I40" s="388"/>
      <c r="J40" s="388"/>
      <c r="K40" s="403"/>
      <c r="L40" s="404"/>
    </row>
    <row r="41" spans="1:12">
      <c r="A41" s="400" t="s">
        <v>470</v>
      </c>
      <c r="B41" s="401">
        <v>7229</v>
      </c>
      <c r="C41" s="402" t="s">
        <v>471</v>
      </c>
      <c r="D41" s="388">
        <f t="shared" si="0"/>
        <v>7229</v>
      </c>
      <c r="E41" s="388">
        <v>0</v>
      </c>
      <c r="F41" s="388">
        <v>0</v>
      </c>
      <c r="G41" s="388"/>
      <c r="H41" s="388">
        <f>D41*(1+$E$7)</f>
        <v>7825.2492569352708</v>
      </c>
      <c r="I41" s="388">
        <f>+E41*(1+$E$9)</f>
        <v>0</v>
      </c>
      <c r="J41" s="388">
        <f>F41*(1+$E$10)</f>
        <v>0</v>
      </c>
      <c r="K41" s="403">
        <f t="shared" ref="K41:K43" si="6">SUM(H41:J41)</f>
        <v>7825.2492569352708</v>
      </c>
      <c r="L41" s="404" t="s">
        <v>471</v>
      </c>
    </row>
    <row r="42" spans="1:12">
      <c r="A42" s="400" t="s">
        <v>479</v>
      </c>
      <c r="B42" s="401">
        <v>14458</v>
      </c>
      <c r="C42" s="402" t="s">
        <v>471</v>
      </c>
      <c r="D42" s="388">
        <f t="shared" si="0"/>
        <v>14458</v>
      </c>
      <c r="E42" s="388">
        <v>0</v>
      </c>
      <c r="F42" s="388">
        <v>0</v>
      </c>
      <c r="G42" s="388"/>
      <c r="H42" s="388">
        <f>D42*(1+$E$7)</f>
        <v>15650.498513870542</v>
      </c>
      <c r="I42" s="388">
        <f>+E42*(1+$E$9)</f>
        <v>0</v>
      </c>
      <c r="J42" s="388">
        <f>F42*(1+$E$10)</f>
        <v>0</v>
      </c>
      <c r="K42" s="403">
        <f t="shared" si="6"/>
        <v>15650.498513870542</v>
      </c>
      <c r="L42" s="404" t="s">
        <v>471</v>
      </c>
    </row>
    <row r="43" spans="1:12">
      <c r="A43" s="400" t="s">
        <v>473</v>
      </c>
      <c r="B43" s="401">
        <v>23133</v>
      </c>
      <c r="C43" s="402" t="s">
        <v>471</v>
      </c>
      <c r="D43" s="388">
        <f t="shared" si="0"/>
        <v>23133</v>
      </c>
      <c r="E43" s="388">
        <v>0</v>
      </c>
      <c r="F43" s="388">
        <v>0</v>
      </c>
      <c r="G43" s="388"/>
      <c r="H43" s="388">
        <f>D43*(1+$E$7)</f>
        <v>25041.014118229854</v>
      </c>
      <c r="I43" s="388">
        <f>+E43*(1+$E$9)</f>
        <v>0</v>
      </c>
      <c r="J43" s="388">
        <f>F43*(1+$E$10)</f>
        <v>0</v>
      </c>
      <c r="K43" s="403">
        <f t="shared" si="6"/>
        <v>25041.014118229854</v>
      </c>
      <c r="L43" s="404" t="s">
        <v>471</v>
      </c>
    </row>
    <row r="44" spans="1:12">
      <c r="A44" s="378"/>
      <c r="B44" s="383"/>
      <c r="C44" s="399"/>
      <c r="D44" s="408"/>
      <c r="E44" s="408"/>
      <c r="F44" s="408"/>
      <c r="G44" s="383"/>
      <c r="H44" s="383"/>
      <c r="I44" s="383"/>
      <c r="J44" s="383"/>
      <c r="K44" s="384"/>
      <c r="L44" s="409"/>
    </row>
    <row r="45" spans="1:12">
      <c r="A45" s="353" t="s">
        <v>480</v>
      </c>
      <c r="B45" s="396"/>
      <c r="C45" s="397"/>
      <c r="D45" s="410"/>
      <c r="E45" s="410"/>
      <c r="F45" s="410"/>
      <c r="G45" s="386"/>
      <c r="H45" s="410"/>
      <c r="I45" s="410"/>
      <c r="J45" s="410"/>
      <c r="K45" s="411"/>
      <c r="L45" s="397"/>
    </row>
    <row r="46" spans="1:12">
      <c r="A46" s="353" t="s">
        <v>481</v>
      </c>
      <c r="B46" s="396"/>
      <c r="C46" s="397"/>
      <c r="D46" s="410"/>
      <c r="E46" s="410"/>
      <c r="F46" s="410"/>
      <c r="G46" s="386"/>
      <c r="H46" s="410"/>
      <c r="I46" s="410"/>
      <c r="J46" s="410"/>
      <c r="K46" s="411"/>
      <c r="L46" s="397"/>
    </row>
    <row r="47" spans="1:12">
      <c r="A47" s="353" t="s">
        <v>482</v>
      </c>
      <c r="B47" s="396"/>
      <c r="C47" s="397"/>
      <c r="D47" s="410"/>
      <c r="E47" s="410"/>
      <c r="F47" s="410"/>
      <c r="G47" s="386"/>
      <c r="H47" s="410"/>
      <c r="I47" s="410"/>
      <c r="J47" s="410"/>
      <c r="K47" s="411"/>
      <c r="L47" s="397"/>
    </row>
    <row r="48" spans="1:12">
      <c r="A48" s="353" t="s">
        <v>483</v>
      </c>
      <c r="B48" s="396"/>
      <c r="C48" s="397"/>
      <c r="D48" s="410"/>
      <c r="E48" s="410"/>
      <c r="F48" s="410"/>
      <c r="G48" s="386"/>
      <c r="H48" s="410"/>
      <c r="I48" s="410"/>
      <c r="J48" s="410"/>
      <c r="K48" s="411"/>
      <c r="L48" s="397"/>
    </row>
    <row r="49" spans="1:13">
      <c r="A49" s="353" t="s">
        <v>484</v>
      </c>
      <c r="B49" s="396"/>
      <c r="C49" s="397"/>
      <c r="D49" s="410"/>
      <c r="E49" s="410"/>
      <c r="F49" s="410"/>
      <c r="G49" s="386"/>
      <c r="H49" s="410"/>
      <c r="I49" s="410"/>
      <c r="J49" s="410"/>
      <c r="K49" s="411"/>
      <c r="L49" s="397"/>
    </row>
    <row r="50" spans="1:13">
      <c r="A50" s="353" t="s">
        <v>485</v>
      </c>
      <c r="B50" s="396"/>
      <c r="C50" s="397"/>
      <c r="D50" s="410"/>
      <c r="E50" s="410"/>
      <c r="F50" s="410"/>
      <c r="G50" s="386"/>
      <c r="H50" s="410"/>
      <c r="I50" s="410"/>
      <c r="J50" s="410"/>
      <c r="K50" s="411"/>
      <c r="L50" s="397"/>
    </row>
    <row r="51" spans="1:13">
      <c r="B51" s="386"/>
      <c r="C51" s="412"/>
      <c r="D51" s="386"/>
      <c r="E51" s="386"/>
      <c r="F51" s="386"/>
      <c r="G51" s="386"/>
      <c r="H51" s="386"/>
      <c r="I51" s="386"/>
      <c r="J51" s="386"/>
      <c r="K51" s="413"/>
      <c r="L51" s="409"/>
    </row>
    <row r="52" spans="1:13" s="382" customFormat="1">
      <c r="B52" s="414"/>
      <c r="C52" s="414"/>
      <c r="D52" s="414"/>
      <c r="E52" s="414"/>
      <c r="F52" s="414"/>
      <c r="G52" s="414"/>
      <c r="H52" s="414"/>
      <c r="I52" s="414"/>
      <c r="J52" s="414"/>
      <c r="K52" s="415"/>
      <c r="L52" s="414"/>
    </row>
    <row r="53" spans="1:13" s="382" customFormat="1">
      <c r="B53" s="414"/>
      <c r="C53" s="414"/>
      <c r="D53" s="414"/>
      <c r="E53" s="414"/>
      <c r="F53" s="414"/>
      <c r="G53" s="414"/>
      <c r="H53" s="414"/>
      <c r="I53" s="414"/>
      <c r="J53" s="414"/>
      <c r="K53" s="414"/>
      <c r="L53" s="414"/>
    </row>
    <row r="54" spans="1:13">
      <c r="A54" s="343" t="s">
        <v>486</v>
      </c>
      <c r="B54" s="416" t="s">
        <v>487</v>
      </c>
      <c r="C54" s="417"/>
      <c r="D54" s="417"/>
      <c r="E54" s="417"/>
      <c r="F54" s="417"/>
      <c r="G54" s="417"/>
      <c r="H54" s="417"/>
      <c r="I54" s="417"/>
      <c r="J54" s="417"/>
      <c r="K54" s="417"/>
      <c r="L54" s="417"/>
    </row>
    <row r="55" spans="1:13">
      <c r="B55" s="417"/>
      <c r="C55" s="417"/>
      <c r="D55" s="393" t="s">
        <v>454</v>
      </c>
      <c r="E55" s="393"/>
      <c r="F55" s="393"/>
      <c r="G55" s="388"/>
      <c r="H55" s="921" t="s">
        <v>455</v>
      </c>
      <c r="I55" s="921"/>
      <c r="J55" s="921"/>
      <c r="K55" s="394"/>
      <c r="L55" s="386"/>
    </row>
    <row r="56" spans="1:13">
      <c r="A56" s="357"/>
      <c r="B56" s="418" t="s">
        <v>457</v>
      </c>
      <c r="C56" s="399"/>
      <c r="D56" s="385" t="s">
        <v>458</v>
      </c>
      <c r="E56" s="385" t="s">
        <v>459</v>
      </c>
      <c r="F56" s="385" t="s">
        <v>460</v>
      </c>
      <c r="G56" s="388"/>
      <c r="H56" s="385" t="s">
        <v>458</v>
      </c>
      <c r="I56" s="385" t="s">
        <v>459</v>
      </c>
      <c r="J56" s="385" t="s">
        <v>460</v>
      </c>
      <c r="K56" s="925" t="str">
        <f>K24</f>
        <v>Effective 7/21/22</v>
      </c>
      <c r="L56" s="925"/>
    </row>
    <row r="57" spans="1:13">
      <c r="A57" s="353" t="s">
        <v>488</v>
      </c>
      <c r="B57" s="386"/>
      <c r="C57" s="386"/>
      <c r="D57" s="388"/>
      <c r="E57" s="388"/>
      <c r="F57" s="388"/>
      <c r="G57" s="388"/>
      <c r="H57" s="388"/>
      <c r="I57" s="388"/>
      <c r="J57" s="388"/>
      <c r="K57" s="383"/>
      <c r="L57" s="386"/>
    </row>
    <row r="58" spans="1:13">
      <c r="A58" s="353" t="s">
        <v>489</v>
      </c>
      <c r="B58" s="419">
        <v>8942</v>
      </c>
      <c r="C58" s="420" t="s">
        <v>285</v>
      </c>
      <c r="D58" s="388">
        <f t="shared" ref="D58:D60" si="7">B58</f>
        <v>8942</v>
      </c>
      <c r="E58" s="388">
        <v>0</v>
      </c>
      <c r="F58" s="388">
        <v>0</v>
      </c>
      <c r="G58" s="388"/>
      <c r="H58" s="388">
        <f>D58*(1+$E$7)</f>
        <v>9679.5378137384414</v>
      </c>
      <c r="I58" s="388">
        <f>+E58*(1+$E$9)</f>
        <v>0</v>
      </c>
      <c r="J58" s="388">
        <v>0</v>
      </c>
      <c r="K58" s="403">
        <f t="shared" ref="K58:K60" si="8">SUM(H58:J58)</f>
        <v>9679.5378137384414</v>
      </c>
      <c r="L58" s="421" t="s">
        <v>285</v>
      </c>
      <c r="M58" s="353"/>
    </row>
    <row r="59" spans="1:13">
      <c r="A59" s="353" t="s">
        <v>490</v>
      </c>
      <c r="B59" s="419">
        <v>10519</v>
      </c>
      <c r="C59" s="420" t="s">
        <v>491</v>
      </c>
      <c r="D59" s="388">
        <f t="shared" si="7"/>
        <v>10519</v>
      </c>
      <c r="E59" s="388">
        <v>0</v>
      </c>
      <c r="F59" s="388">
        <v>0</v>
      </c>
      <c r="G59" s="388"/>
      <c r="H59" s="388">
        <f t="shared" ref="H59:H60" si="9">D59*(1+$E$7)</f>
        <v>11386.609065389695</v>
      </c>
      <c r="I59" s="388">
        <f t="shared" ref="I59:I60" si="10">+E59*(1+$E$9)</f>
        <v>0</v>
      </c>
      <c r="J59" s="388">
        <v>0</v>
      </c>
      <c r="K59" s="403">
        <f t="shared" si="8"/>
        <v>11386.609065389695</v>
      </c>
      <c r="L59" s="421" t="s">
        <v>491</v>
      </c>
      <c r="M59" s="353"/>
    </row>
    <row r="60" spans="1:13">
      <c r="A60" s="353" t="s">
        <v>492</v>
      </c>
      <c r="B60" s="419">
        <v>0</v>
      </c>
      <c r="C60" s="420"/>
      <c r="D60" s="388">
        <f t="shared" si="7"/>
        <v>0</v>
      </c>
      <c r="E60" s="388">
        <v>0</v>
      </c>
      <c r="F60" s="388">
        <v>0</v>
      </c>
      <c r="G60" s="388"/>
      <c r="H60" s="388">
        <f t="shared" si="9"/>
        <v>0</v>
      </c>
      <c r="I60" s="388">
        <f t="shared" si="10"/>
        <v>0</v>
      </c>
      <c r="J60" s="388">
        <v>0</v>
      </c>
      <c r="K60" s="403">
        <f t="shared" si="8"/>
        <v>0</v>
      </c>
      <c r="L60" s="421"/>
      <c r="M60" s="353"/>
    </row>
    <row r="61" spans="1:13">
      <c r="A61" s="353" t="s">
        <v>493</v>
      </c>
      <c r="B61" s="419"/>
      <c r="C61" s="420"/>
      <c r="D61" s="388"/>
      <c r="E61" s="388"/>
      <c r="F61" s="388"/>
      <c r="G61" s="388"/>
      <c r="H61" s="388"/>
      <c r="I61" s="388"/>
      <c r="J61" s="388"/>
      <c r="K61" s="403"/>
      <c r="L61" s="421"/>
      <c r="M61" s="353"/>
    </row>
    <row r="62" spans="1:13">
      <c r="A62" s="353" t="s">
        <v>494</v>
      </c>
      <c r="B62" s="419">
        <v>8206</v>
      </c>
      <c r="C62" s="420" t="s">
        <v>495</v>
      </c>
      <c r="D62" s="388">
        <f t="shared" ref="D62:D63" si="11">B62</f>
        <v>8206</v>
      </c>
      <c r="E62" s="388">
        <v>0</v>
      </c>
      <c r="F62" s="388">
        <v>0</v>
      </c>
      <c r="G62" s="388"/>
      <c r="H62" s="388">
        <f>D62*(1+$E$7)</f>
        <v>8882.8323976221927</v>
      </c>
      <c r="I62" s="388">
        <f>+E62*(1+$E$9)</f>
        <v>0</v>
      </c>
      <c r="J62" s="388">
        <v>0</v>
      </c>
      <c r="K62" s="403">
        <f>SUM(H62:J62)</f>
        <v>8882.8323976221927</v>
      </c>
      <c r="L62" s="421" t="s">
        <v>495</v>
      </c>
      <c r="M62" s="353"/>
    </row>
    <row r="63" spans="1:13">
      <c r="A63" s="400" t="s">
        <v>496</v>
      </c>
      <c r="B63" s="419">
        <v>10519</v>
      </c>
      <c r="C63" s="422" t="s">
        <v>497</v>
      </c>
      <c r="D63" s="388">
        <f t="shared" si="11"/>
        <v>10519</v>
      </c>
      <c r="E63" s="388">
        <v>0</v>
      </c>
      <c r="F63" s="388">
        <v>0</v>
      </c>
      <c r="G63" s="388"/>
      <c r="H63" s="388">
        <f>D63*(1+$E$7)</f>
        <v>11386.609065389695</v>
      </c>
      <c r="I63" s="388">
        <v>0</v>
      </c>
      <c r="J63" s="388">
        <v>0</v>
      </c>
      <c r="K63" s="403">
        <f>SUM(H63:J63)</f>
        <v>11386.609065389695</v>
      </c>
      <c r="L63" s="423" t="s">
        <v>497</v>
      </c>
      <c r="M63" s="353"/>
    </row>
    <row r="64" spans="1:13">
      <c r="A64" s="400"/>
      <c r="B64" s="422"/>
      <c r="C64" s="422"/>
      <c r="D64" s="424"/>
      <c r="E64" s="424"/>
      <c r="F64" s="424"/>
      <c r="G64" s="424"/>
      <c r="H64" s="424"/>
      <c r="I64" s="424"/>
      <c r="J64" s="424"/>
      <c r="K64" s="425"/>
      <c r="L64" s="423"/>
      <c r="M64" s="353"/>
    </row>
    <row r="65" spans="1:16">
      <c r="A65" s="353"/>
      <c r="B65" s="417"/>
      <c r="C65" s="426"/>
      <c r="D65" s="424"/>
      <c r="E65" s="424"/>
      <c r="F65" s="424"/>
      <c r="G65" s="424"/>
      <c r="K65" s="926" t="str">
        <f>K56</f>
        <v>Effective 7/21/22</v>
      </c>
      <c r="L65" s="926"/>
      <c r="M65" s="926"/>
    </row>
    <row r="66" spans="1:16" ht="15">
      <c r="A66" s="353" t="s">
        <v>498</v>
      </c>
      <c r="B66" s="427" t="s">
        <v>499</v>
      </c>
      <c r="C66" s="428" t="s">
        <v>500</v>
      </c>
      <c r="D66" s="429" t="s">
        <v>501</v>
      </c>
      <c r="K66" s="430" t="s">
        <v>499</v>
      </c>
      <c r="L66" s="428" t="s">
        <v>500</v>
      </c>
      <c r="M66" s="429" t="s">
        <v>501</v>
      </c>
    </row>
    <row r="67" spans="1:16">
      <c r="A67" s="353" t="s">
        <v>470</v>
      </c>
      <c r="B67" s="419">
        <v>10519</v>
      </c>
      <c r="C67" s="419">
        <v>12169</v>
      </c>
      <c r="D67" s="431">
        <v>15631</v>
      </c>
      <c r="K67" s="423">
        <f t="shared" ref="K67:M73" si="12">B67*(1+$E$7)</f>
        <v>11386.609065389695</v>
      </c>
      <c r="L67" s="423">
        <f t="shared" si="12"/>
        <v>13172.70137054161</v>
      </c>
      <c r="M67" s="422">
        <f t="shared" si="12"/>
        <v>16920.24777080581</v>
      </c>
      <c r="P67" s="424"/>
    </row>
    <row r="68" spans="1:16">
      <c r="A68" s="353" t="s">
        <v>472</v>
      </c>
      <c r="B68" s="419">
        <v>21038</v>
      </c>
      <c r="C68" s="419">
        <v>24338</v>
      </c>
      <c r="D68" s="431">
        <v>31262</v>
      </c>
      <c r="K68" s="423">
        <f t="shared" si="12"/>
        <v>22773.218130779391</v>
      </c>
      <c r="L68" s="423">
        <f t="shared" si="12"/>
        <v>26345.40274108322</v>
      </c>
      <c r="M68" s="422">
        <f t="shared" si="12"/>
        <v>33840.495541611621</v>
      </c>
    </row>
    <row r="69" spans="1:16">
      <c r="A69" s="353" t="s">
        <v>473</v>
      </c>
      <c r="B69" s="419">
        <v>33661</v>
      </c>
      <c r="C69" s="419">
        <v>38941</v>
      </c>
      <c r="D69" s="431">
        <v>50019</v>
      </c>
      <c r="K69" s="423">
        <f t="shared" si="12"/>
        <v>36437.365505284011</v>
      </c>
      <c r="L69" s="423">
        <f t="shared" si="12"/>
        <v>42152.860881770146</v>
      </c>
      <c r="M69" s="422">
        <f t="shared" si="12"/>
        <v>54144.57637054161</v>
      </c>
    </row>
    <row r="70" spans="1:16">
      <c r="A70" s="353" t="s">
        <v>474</v>
      </c>
      <c r="B70" s="419">
        <v>63115</v>
      </c>
      <c r="C70" s="419">
        <v>73015</v>
      </c>
      <c r="D70" s="431">
        <v>93786</v>
      </c>
      <c r="K70" s="423">
        <f t="shared" si="12"/>
        <v>68320.736872523106</v>
      </c>
      <c r="L70" s="423">
        <f t="shared" si="12"/>
        <v>79037.290703434599</v>
      </c>
      <c r="M70" s="422">
        <f t="shared" si="12"/>
        <v>101521.48662483487</v>
      </c>
    </row>
    <row r="71" spans="1:16">
      <c r="A71" s="353" t="s">
        <v>475</v>
      </c>
      <c r="B71" s="419">
        <v>105192</v>
      </c>
      <c r="C71" s="419">
        <v>121692</v>
      </c>
      <c r="D71" s="431">
        <v>156312</v>
      </c>
      <c r="K71" s="423">
        <f t="shared" si="12"/>
        <v>113868.25561426683</v>
      </c>
      <c r="L71" s="423">
        <f t="shared" si="12"/>
        <v>131729.17866578599</v>
      </c>
      <c r="M71" s="422">
        <f t="shared" si="12"/>
        <v>169204.64266842799</v>
      </c>
    </row>
    <row r="72" spans="1:16">
      <c r="A72" s="400" t="s">
        <v>476</v>
      </c>
      <c r="B72" s="419">
        <v>210383</v>
      </c>
      <c r="C72" s="419">
        <v>243384</v>
      </c>
      <c r="D72" s="431">
        <v>312622</v>
      </c>
      <c r="K72" s="423">
        <f t="shared" si="12"/>
        <v>227735.42874834873</v>
      </c>
      <c r="L72" s="423">
        <f t="shared" si="12"/>
        <v>263458.35733157198</v>
      </c>
      <c r="M72" s="422">
        <f t="shared" si="12"/>
        <v>338407.1203764861</v>
      </c>
    </row>
    <row r="73" spans="1:16">
      <c r="A73" s="400" t="s">
        <v>477</v>
      </c>
      <c r="B73" s="419">
        <v>336613</v>
      </c>
      <c r="C73" s="419">
        <v>389414</v>
      </c>
      <c r="D73" s="431">
        <v>500194</v>
      </c>
      <c r="E73" s="424"/>
      <c r="F73" s="424"/>
      <c r="K73" s="423">
        <f t="shared" si="12"/>
        <v>364376.90249339497</v>
      </c>
      <c r="L73" s="423">
        <f t="shared" si="12"/>
        <v>421532.93873844121</v>
      </c>
      <c r="M73" s="422">
        <f t="shared" si="12"/>
        <v>541450.09362615587</v>
      </c>
    </row>
    <row r="74" spans="1:16">
      <c r="A74" s="378"/>
      <c r="B74" s="432"/>
      <c r="C74" s="433"/>
      <c r="D74" s="432"/>
      <c r="E74" s="434"/>
      <c r="F74" s="432"/>
      <c r="G74" s="432"/>
      <c r="H74" s="432"/>
      <c r="I74" s="433"/>
      <c r="J74" s="432"/>
      <c r="K74" s="435"/>
      <c r="L74" s="347"/>
    </row>
    <row r="75" spans="1:16">
      <c r="A75" s="436" t="s">
        <v>502</v>
      </c>
      <c r="B75" s="432"/>
      <c r="C75" s="433"/>
      <c r="D75" s="432"/>
      <c r="E75" s="434"/>
      <c r="F75" s="432"/>
      <c r="G75" s="432"/>
      <c r="H75" s="432"/>
      <c r="I75" s="433"/>
      <c r="J75" s="432"/>
      <c r="K75" s="435"/>
      <c r="L75" s="347"/>
    </row>
    <row r="76" spans="1:16">
      <c r="A76" s="436" t="s">
        <v>503</v>
      </c>
      <c r="B76" s="432"/>
      <c r="C76" s="433"/>
      <c r="D76" s="432"/>
      <c r="E76" s="434"/>
      <c r="F76" s="432"/>
      <c r="G76" s="432"/>
      <c r="H76" s="432"/>
      <c r="I76" s="433"/>
      <c r="J76" s="432"/>
      <c r="K76" s="435"/>
      <c r="L76" s="347"/>
    </row>
    <row r="77" spans="1:16">
      <c r="A77" s="353" t="s">
        <v>484</v>
      </c>
      <c r="B77" s="432"/>
      <c r="C77" s="432"/>
      <c r="D77" s="432"/>
    </row>
    <row r="78" spans="1:16">
      <c r="A78" s="400" t="s">
        <v>504</v>
      </c>
      <c r="B78" s="432"/>
      <c r="C78" s="432"/>
      <c r="D78" s="432"/>
    </row>
    <row r="79" spans="1:16">
      <c r="A79" s="400" t="s">
        <v>505</v>
      </c>
      <c r="B79" s="432"/>
      <c r="C79" s="432"/>
      <c r="D79" s="432"/>
    </row>
    <row r="80" spans="1:16">
      <c r="A80" s="400" t="s">
        <v>506</v>
      </c>
      <c r="B80" s="432"/>
      <c r="C80" s="432"/>
      <c r="D80" s="432"/>
    </row>
    <row r="81" spans="1:17">
      <c r="A81" s="400" t="s">
        <v>507</v>
      </c>
      <c r="B81" s="432"/>
      <c r="C81" s="432"/>
      <c r="D81" s="432"/>
    </row>
    <row r="82" spans="1:17">
      <c r="A82" s="353" t="s">
        <v>508</v>
      </c>
      <c r="B82" s="432"/>
      <c r="C82" s="432"/>
      <c r="D82" s="432"/>
    </row>
    <row r="83" spans="1:17">
      <c r="A83" s="357"/>
      <c r="B83" s="432" t="s">
        <v>509</v>
      </c>
      <c r="C83" s="432"/>
      <c r="D83" s="432"/>
    </row>
    <row r="84" spans="1:17">
      <c r="A84" s="357" t="s">
        <v>28</v>
      </c>
      <c r="B84" s="437" t="s">
        <v>510</v>
      </c>
      <c r="C84" s="432"/>
      <c r="D84" s="432"/>
    </row>
    <row r="85" spans="1:17">
      <c r="A85" s="357"/>
      <c r="B85" s="432"/>
      <c r="C85" s="432" t="s">
        <v>511</v>
      </c>
      <c r="D85" s="432"/>
    </row>
    <row r="86" spans="1:17">
      <c r="A86" s="357"/>
      <c r="B86" s="432"/>
      <c r="C86" s="432" t="s">
        <v>512</v>
      </c>
      <c r="D86" s="432"/>
    </row>
    <row r="87" spans="1:17">
      <c r="A87" s="357"/>
      <c r="B87" s="432"/>
      <c r="C87" s="432" t="s">
        <v>513</v>
      </c>
      <c r="D87" s="432"/>
    </row>
    <row r="88" spans="1:17">
      <c r="A88" s="357"/>
      <c r="B88" s="432"/>
      <c r="C88" s="432" t="s">
        <v>514</v>
      </c>
      <c r="D88" s="432"/>
    </row>
    <row r="89" spans="1:17">
      <c r="A89" s="357"/>
      <c r="B89" s="432" t="s">
        <v>515</v>
      </c>
      <c r="C89" s="432"/>
      <c r="D89" s="432"/>
    </row>
    <row r="90" spans="1:17">
      <c r="A90" s="353" t="s">
        <v>516</v>
      </c>
      <c r="B90" s="432"/>
      <c r="C90" s="432"/>
      <c r="D90" s="432"/>
    </row>
    <row r="91" spans="1:17" s="382" customFormat="1">
      <c r="B91" s="438"/>
      <c r="C91" s="438"/>
      <c r="D91" s="438"/>
      <c r="E91" s="438"/>
      <c r="F91" s="438"/>
      <c r="H91" s="439"/>
      <c r="I91" s="439"/>
      <c r="J91" s="439"/>
      <c r="K91" s="440"/>
      <c r="L91" s="441"/>
    </row>
    <row r="92" spans="1:17" s="382" customFormat="1">
      <c r="B92" s="438"/>
      <c r="C92" s="438"/>
      <c r="D92" s="438"/>
      <c r="E92" s="438"/>
      <c r="F92" s="438"/>
      <c r="H92" s="439"/>
      <c r="I92" s="439"/>
      <c r="J92" s="439"/>
      <c r="K92" s="440"/>
      <c r="L92" s="441"/>
    </row>
    <row r="93" spans="1:17">
      <c r="A93" s="343" t="s">
        <v>517</v>
      </c>
      <c r="L93" s="357"/>
    </row>
    <row r="94" spans="1:17">
      <c r="A94" s="376"/>
      <c r="B94" s="442" t="s">
        <v>518</v>
      </c>
      <c r="C94" s="442" t="s">
        <v>449</v>
      </c>
      <c r="Q94" s="344"/>
    </row>
    <row r="95" spans="1:17">
      <c r="A95" s="376" t="s">
        <v>450</v>
      </c>
      <c r="B95" s="443">
        <v>64643000</v>
      </c>
      <c r="C95" s="444">
        <f>+B95/B98</f>
        <v>1</v>
      </c>
      <c r="D95" s="370"/>
    </row>
    <row r="96" spans="1:17">
      <c r="A96" s="376" t="s">
        <v>432</v>
      </c>
      <c r="B96" s="445">
        <v>0</v>
      </c>
      <c r="C96" s="444">
        <f>+B96/B98</f>
        <v>0</v>
      </c>
    </row>
    <row r="97" spans="1:12">
      <c r="A97" s="376" t="s">
        <v>438</v>
      </c>
      <c r="B97" s="445">
        <v>0</v>
      </c>
      <c r="C97" s="444">
        <f>+B97/B98</f>
        <v>0</v>
      </c>
    </row>
    <row r="98" spans="1:12" ht="13.5" thickBot="1">
      <c r="A98" s="389" t="s">
        <v>451</v>
      </c>
      <c r="B98" s="446">
        <f>SUM(B95:B97)</f>
        <v>64643000</v>
      </c>
      <c r="C98" s="447">
        <f>SUM(C95:C97)</f>
        <v>1</v>
      </c>
    </row>
    <row r="99" spans="1:12" ht="13.5" thickTop="1"/>
    <row r="100" spans="1:12">
      <c r="A100" s="353" t="s">
        <v>519</v>
      </c>
      <c r="D100" s="448" t="s">
        <v>520</v>
      </c>
      <c r="E100" s="448"/>
      <c r="F100" s="448"/>
      <c r="G100" s="376"/>
      <c r="H100" s="923" t="s">
        <v>455</v>
      </c>
      <c r="I100" s="923"/>
      <c r="J100" s="923"/>
      <c r="K100" s="347"/>
    </row>
    <row r="101" spans="1:12">
      <c r="A101" s="357"/>
      <c r="B101" s="449" t="s">
        <v>457</v>
      </c>
      <c r="C101" s="347"/>
      <c r="D101" s="442" t="s">
        <v>458</v>
      </c>
      <c r="E101" s="442" t="s">
        <v>459</v>
      </c>
      <c r="F101" s="442" t="s">
        <v>460</v>
      </c>
      <c r="G101" s="376"/>
      <c r="H101" s="442" t="s">
        <v>458</v>
      </c>
      <c r="I101" s="442" t="s">
        <v>459</v>
      </c>
      <c r="J101" s="442" t="s">
        <v>460</v>
      </c>
      <c r="K101" s="450" t="str">
        <f>$K$133</f>
        <v>Effective 7/21/22</v>
      </c>
      <c r="L101" s="347"/>
    </row>
    <row r="102" spans="1:12">
      <c r="A102" s="342" t="s">
        <v>521</v>
      </c>
      <c r="D102" s="376"/>
      <c r="E102" s="376"/>
      <c r="F102" s="451"/>
      <c r="G102" s="376"/>
      <c r="H102" s="376"/>
      <c r="I102" s="376"/>
      <c r="J102" s="376"/>
    </row>
    <row r="103" spans="1:12">
      <c r="A103" s="342" t="s">
        <v>522</v>
      </c>
      <c r="B103" s="452">
        <v>11475</v>
      </c>
      <c r="C103" s="453" t="s">
        <v>523</v>
      </c>
      <c r="D103" s="451">
        <f>ROUND(+$C$95*B103,0)</f>
        <v>11475</v>
      </c>
      <c r="E103" s="451">
        <f>ROUND($C$96*B103,0)</f>
        <v>0</v>
      </c>
      <c r="F103" s="451">
        <f t="shared" ref="F103:F111" si="13">+B103-D103-E103</f>
        <v>0</v>
      </c>
      <c r="G103" s="376"/>
      <c r="H103" s="451">
        <f t="shared" ref="H103:H111" si="14">D103*(1+$E$6)</f>
        <v>12491.857962697273</v>
      </c>
      <c r="I103" s="451">
        <f t="shared" ref="I103:I111" si="15">+E103*(1+$E$8)</f>
        <v>0</v>
      </c>
      <c r="J103" s="451">
        <f t="shared" ref="J103:J111" si="16">F103*(1+$E$10)</f>
        <v>0</v>
      </c>
      <c r="K103" s="454">
        <f t="shared" ref="K103:K111" si="17">SUM(H103:J103)</f>
        <v>12491.857962697273</v>
      </c>
      <c r="L103" s="455" t="s">
        <v>523</v>
      </c>
    </row>
    <row r="104" spans="1:12">
      <c r="A104" s="342" t="s">
        <v>524</v>
      </c>
      <c r="B104" s="452">
        <v>6491</v>
      </c>
      <c r="C104" s="453" t="s">
        <v>523</v>
      </c>
      <c r="D104" s="451">
        <f t="shared" ref="D104:D111" si="18">ROUND(+$C$95*B104,0)</f>
        <v>6491</v>
      </c>
      <c r="E104" s="451">
        <f t="shared" ref="E104:E111" si="19">ROUND($C$96*B104,0)</f>
        <v>0</v>
      </c>
      <c r="F104" s="451">
        <f t="shared" si="13"/>
        <v>0</v>
      </c>
      <c r="G104" s="376"/>
      <c r="H104" s="451">
        <f t="shared" si="14"/>
        <v>7066.2004388555997</v>
      </c>
      <c r="I104" s="451">
        <f t="shared" si="15"/>
        <v>0</v>
      </c>
      <c r="J104" s="451">
        <f t="shared" si="16"/>
        <v>0</v>
      </c>
      <c r="K104" s="454">
        <f t="shared" si="17"/>
        <v>7066.2004388555997</v>
      </c>
      <c r="L104" s="455" t="s">
        <v>523</v>
      </c>
    </row>
    <row r="105" spans="1:12">
      <c r="A105" s="378" t="s">
        <v>525</v>
      </c>
      <c r="B105" s="452">
        <v>0</v>
      </c>
      <c r="C105" s="453" t="s">
        <v>523</v>
      </c>
      <c r="D105" s="451">
        <f t="shared" si="18"/>
        <v>0</v>
      </c>
      <c r="E105" s="451">
        <f t="shared" si="19"/>
        <v>0</v>
      </c>
      <c r="F105" s="451">
        <f t="shared" si="13"/>
        <v>0</v>
      </c>
      <c r="G105" s="376"/>
      <c r="H105" s="451">
        <f t="shared" si="14"/>
        <v>0</v>
      </c>
      <c r="I105" s="451">
        <f t="shared" si="15"/>
        <v>0</v>
      </c>
      <c r="J105" s="451">
        <f t="shared" si="16"/>
        <v>0</v>
      </c>
      <c r="K105" s="454">
        <f t="shared" si="17"/>
        <v>0</v>
      </c>
      <c r="L105" s="455" t="s">
        <v>523</v>
      </c>
    </row>
    <row r="106" spans="1:12">
      <c r="A106" s="342" t="s">
        <v>0</v>
      </c>
      <c r="B106" s="452">
        <v>9737</v>
      </c>
      <c r="C106" s="453" t="s">
        <v>526</v>
      </c>
      <c r="D106" s="451">
        <f t="shared" si="18"/>
        <v>9737</v>
      </c>
      <c r="E106" s="451">
        <f t="shared" si="19"/>
        <v>0</v>
      </c>
      <c r="F106" s="451">
        <f t="shared" si="13"/>
        <v>0</v>
      </c>
      <c r="G106" s="376"/>
      <c r="H106" s="451">
        <f t="shared" si="14"/>
        <v>10599.844965819901</v>
      </c>
      <c r="I106" s="451">
        <f t="shared" si="15"/>
        <v>0</v>
      </c>
      <c r="J106" s="451">
        <f t="shared" si="16"/>
        <v>0</v>
      </c>
      <c r="K106" s="454">
        <f t="shared" si="17"/>
        <v>10599.844965819901</v>
      </c>
      <c r="L106" s="455" t="s">
        <v>526</v>
      </c>
    </row>
    <row r="107" spans="1:12">
      <c r="A107" s="342" t="s">
        <v>109</v>
      </c>
      <c r="B107" s="452">
        <v>11708</v>
      </c>
      <c r="C107" s="453" t="s">
        <v>526</v>
      </c>
      <c r="D107" s="451">
        <f t="shared" si="18"/>
        <v>11708</v>
      </c>
      <c r="E107" s="451">
        <f t="shared" si="19"/>
        <v>0</v>
      </c>
      <c r="F107" s="451">
        <f t="shared" si="13"/>
        <v>0</v>
      </c>
      <c r="G107" s="376"/>
      <c r="H107" s="451">
        <f t="shared" si="14"/>
        <v>12745.505274706726</v>
      </c>
      <c r="I107" s="451">
        <f t="shared" si="15"/>
        <v>0</v>
      </c>
      <c r="J107" s="451">
        <f t="shared" si="16"/>
        <v>0</v>
      </c>
      <c r="K107" s="454">
        <f t="shared" si="17"/>
        <v>12745.505274706726</v>
      </c>
      <c r="L107" s="455" t="s">
        <v>526</v>
      </c>
    </row>
    <row r="108" spans="1:12">
      <c r="A108" s="342" t="s">
        <v>1</v>
      </c>
      <c r="B108" s="452">
        <v>7419</v>
      </c>
      <c r="C108" s="453" t="s">
        <v>526</v>
      </c>
      <c r="D108" s="451">
        <f t="shared" si="18"/>
        <v>7419</v>
      </c>
      <c r="E108" s="451">
        <f t="shared" si="19"/>
        <v>0</v>
      </c>
      <c r="F108" s="451">
        <f t="shared" si="13"/>
        <v>0</v>
      </c>
      <c r="G108" s="376"/>
      <c r="H108" s="451">
        <f t="shared" si="14"/>
        <v>8076.4352266014002</v>
      </c>
      <c r="I108" s="451">
        <f t="shared" si="15"/>
        <v>0</v>
      </c>
      <c r="J108" s="451">
        <f t="shared" si="16"/>
        <v>0</v>
      </c>
      <c r="K108" s="454">
        <f t="shared" si="17"/>
        <v>8076.4352266014002</v>
      </c>
      <c r="L108" s="455" t="s">
        <v>526</v>
      </c>
    </row>
    <row r="109" spans="1:12">
      <c r="A109" s="342" t="s">
        <v>527</v>
      </c>
      <c r="B109" s="452">
        <v>4868</v>
      </c>
      <c r="C109" s="453" t="s">
        <v>526</v>
      </c>
      <c r="D109" s="451">
        <f t="shared" si="18"/>
        <v>4868</v>
      </c>
      <c r="E109" s="451">
        <f t="shared" si="19"/>
        <v>0</v>
      </c>
      <c r="F109" s="451">
        <f t="shared" si="13"/>
        <v>0</v>
      </c>
      <c r="G109" s="376"/>
      <c r="H109" s="451">
        <f t="shared" si="14"/>
        <v>5299.3781753734493</v>
      </c>
      <c r="I109" s="451">
        <f t="shared" si="15"/>
        <v>0</v>
      </c>
      <c r="J109" s="451">
        <f t="shared" si="16"/>
        <v>0</v>
      </c>
      <c r="K109" s="454">
        <f t="shared" si="17"/>
        <v>5299.3781753734493</v>
      </c>
      <c r="L109" s="455" t="s">
        <v>526</v>
      </c>
    </row>
    <row r="110" spans="1:12">
      <c r="A110" s="342" t="s">
        <v>47</v>
      </c>
      <c r="B110" s="452">
        <v>1391</v>
      </c>
      <c r="C110" s="453" t="s">
        <v>526</v>
      </c>
      <c r="D110" s="451">
        <f t="shared" si="18"/>
        <v>1391</v>
      </c>
      <c r="E110" s="451">
        <f t="shared" si="19"/>
        <v>0</v>
      </c>
      <c r="F110" s="451">
        <f t="shared" si="13"/>
        <v>0</v>
      </c>
      <c r="G110" s="376"/>
      <c r="H110" s="451">
        <f t="shared" si="14"/>
        <v>1514.2635665457001</v>
      </c>
      <c r="I110" s="451">
        <f t="shared" si="15"/>
        <v>0</v>
      </c>
      <c r="J110" s="451">
        <f t="shared" si="16"/>
        <v>0</v>
      </c>
      <c r="K110" s="454">
        <f t="shared" si="17"/>
        <v>1514.2635665457001</v>
      </c>
      <c r="L110" s="455" t="s">
        <v>526</v>
      </c>
    </row>
    <row r="111" spans="1:12">
      <c r="A111" s="342" t="s">
        <v>528</v>
      </c>
      <c r="B111" s="452">
        <v>7535</v>
      </c>
      <c r="C111" s="453" t="s">
        <v>526</v>
      </c>
      <c r="D111" s="451">
        <f t="shared" si="18"/>
        <v>7535</v>
      </c>
      <c r="E111" s="451">
        <f t="shared" si="19"/>
        <v>0</v>
      </c>
      <c r="F111" s="451">
        <f t="shared" si="13"/>
        <v>0</v>
      </c>
      <c r="G111" s="376"/>
      <c r="H111" s="451">
        <f t="shared" si="14"/>
        <v>8202.7145750696254</v>
      </c>
      <c r="I111" s="451">
        <f t="shared" si="15"/>
        <v>0</v>
      </c>
      <c r="J111" s="451">
        <f t="shared" si="16"/>
        <v>0</v>
      </c>
      <c r="K111" s="454">
        <f t="shared" si="17"/>
        <v>8202.7145750696254</v>
      </c>
      <c r="L111" s="455" t="s">
        <v>526</v>
      </c>
    </row>
    <row r="112" spans="1:12">
      <c r="B112" s="452"/>
      <c r="C112" s="453"/>
      <c r="D112" s="456"/>
      <c r="E112" s="456"/>
      <c r="F112" s="456"/>
      <c r="H112" s="456"/>
      <c r="I112" s="456"/>
      <c r="J112" s="456"/>
      <c r="K112" s="457"/>
      <c r="L112" s="458"/>
    </row>
    <row r="113" spans="1:17" s="382" customFormat="1">
      <c r="L113" s="459"/>
    </row>
    <row r="114" spans="1:17">
      <c r="A114" s="343" t="s">
        <v>529</v>
      </c>
      <c r="L114" s="357"/>
    </row>
    <row r="115" spans="1:17">
      <c r="A115" s="376"/>
      <c r="B115" s="442" t="s">
        <v>530</v>
      </c>
      <c r="C115" s="442" t="s">
        <v>449</v>
      </c>
      <c r="M115" s="353"/>
      <c r="N115" s="353"/>
      <c r="O115" s="344"/>
      <c r="Q115" s="344"/>
    </row>
    <row r="116" spans="1:17">
      <c r="A116" s="376" t="s">
        <v>450</v>
      </c>
      <c r="B116" s="443">
        <f>2593538+663448+1215757+180462+3594114+1019608+3975572+433212+1444261+2318830+711924</f>
        <v>18150726</v>
      </c>
      <c r="C116" s="444">
        <f>+B116/B119</f>
        <v>0.81921626661024305</v>
      </c>
      <c r="D116" s="370"/>
    </row>
    <row r="117" spans="1:17">
      <c r="A117" s="376" t="s">
        <v>432</v>
      </c>
      <c r="B117" s="460">
        <f>53000+120000+121350+33550+124100+314900+3238582</f>
        <v>4005482</v>
      </c>
      <c r="C117" s="444">
        <f>+B117/B119</f>
        <v>0.18078373338975695</v>
      </c>
    </row>
    <row r="118" spans="1:17">
      <c r="A118" s="376" t="s">
        <v>438</v>
      </c>
      <c r="B118" s="445">
        <v>0</v>
      </c>
      <c r="C118" s="444">
        <f>+B118/B119</f>
        <v>0</v>
      </c>
    </row>
    <row r="119" spans="1:17" ht="13.5" thickBot="1">
      <c r="A119" s="389" t="s">
        <v>451</v>
      </c>
      <c r="B119" s="446">
        <f>SUM(B116:B118)</f>
        <v>22156208</v>
      </c>
      <c r="C119" s="447">
        <f>SUM(C116:C118)</f>
        <v>1</v>
      </c>
    </row>
    <row r="120" spans="1:17" ht="13.5" thickTop="1">
      <c r="A120" s="353" t="s">
        <v>531</v>
      </c>
    </row>
    <row r="121" spans="1:17">
      <c r="D121" s="461" t="s">
        <v>454</v>
      </c>
      <c r="E121" s="448"/>
      <c r="F121" s="448"/>
      <c r="G121" s="376"/>
      <c r="H121" s="923" t="s">
        <v>455</v>
      </c>
      <c r="I121" s="923"/>
      <c r="J121" s="923"/>
      <c r="K121" s="347"/>
    </row>
    <row r="122" spans="1:17">
      <c r="A122" s="357"/>
      <c r="B122" s="449" t="s">
        <v>457</v>
      </c>
      <c r="C122" s="347"/>
      <c r="D122" s="442" t="s">
        <v>458</v>
      </c>
      <c r="E122" s="442" t="s">
        <v>459</v>
      </c>
      <c r="F122" s="442" t="s">
        <v>460</v>
      </c>
      <c r="G122" s="376"/>
      <c r="H122" s="442" t="s">
        <v>458</v>
      </c>
      <c r="I122" s="442" t="s">
        <v>459</v>
      </c>
      <c r="J122" s="442" t="s">
        <v>460</v>
      </c>
      <c r="K122" s="450" t="str">
        <f>$K$133</f>
        <v>Effective 7/21/22</v>
      </c>
      <c r="L122" s="347"/>
    </row>
    <row r="123" spans="1:17">
      <c r="A123" s="342" t="s">
        <v>521</v>
      </c>
      <c r="D123" s="376"/>
      <c r="E123" s="376"/>
      <c r="F123" s="451"/>
      <c r="G123" s="376"/>
      <c r="H123" s="376"/>
      <c r="I123" s="376"/>
      <c r="J123" s="376"/>
    </row>
    <row r="124" spans="1:17">
      <c r="A124" s="342" t="s">
        <v>522</v>
      </c>
      <c r="B124" s="452">
        <v>3472</v>
      </c>
      <c r="C124" s="453" t="s">
        <v>523</v>
      </c>
      <c r="D124" s="451">
        <f>B124</f>
        <v>3472</v>
      </c>
      <c r="E124" s="462">
        <v>0</v>
      </c>
      <c r="F124" s="462">
        <v>0</v>
      </c>
      <c r="G124" s="376"/>
      <c r="H124" s="451">
        <f>D124*(1+$E$7)</f>
        <v>3758.3712021136062</v>
      </c>
      <c r="I124" s="462">
        <v>0</v>
      </c>
      <c r="J124" s="462">
        <v>0</v>
      </c>
      <c r="K124" s="454">
        <f>SUM(H124:J124)</f>
        <v>3758.3712021136062</v>
      </c>
      <c r="L124" s="455" t="s">
        <v>523</v>
      </c>
    </row>
    <row r="125" spans="1:17">
      <c r="A125" s="342" t="s">
        <v>524</v>
      </c>
      <c r="B125" s="452">
        <v>2049</v>
      </c>
      <c r="C125" s="453" t="s">
        <v>523</v>
      </c>
      <c r="D125" s="451">
        <f>B125</f>
        <v>2049</v>
      </c>
      <c r="E125" s="462">
        <v>0</v>
      </c>
      <c r="F125" s="462">
        <v>0</v>
      </c>
      <c r="G125" s="376"/>
      <c r="H125" s="451">
        <f>D125*(1+$E$7)</f>
        <v>2218.0018989431969</v>
      </c>
      <c r="I125" s="462">
        <v>0</v>
      </c>
      <c r="J125" s="462">
        <v>0</v>
      </c>
      <c r="K125" s="454">
        <f>SUM(H125:J125)</f>
        <v>2218.0018989431969</v>
      </c>
      <c r="L125" s="455" t="s">
        <v>523</v>
      </c>
    </row>
    <row r="126" spans="1:17">
      <c r="A126" s="342" t="s">
        <v>532</v>
      </c>
      <c r="B126" s="452"/>
      <c r="C126" s="453"/>
      <c r="D126" s="451"/>
      <c r="E126" s="462"/>
      <c r="F126" s="462"/>
      <c r="G126" s="376"/>
      <c r="H126" s="451"/>
      <c r="I126" s="462"/>
      <c r="J126" s="462"/>
      <c r="K126" s="454"/>
      <c r="L126" s="455"/>
    </row>
    <row r="127" spans="1:17">
      <c r="A127" s="378" t="s">
        <v>533</v>
      </c>
      <c r="B127" s="452">
        <v>1216</v>
      </c>
      <c r="C127" s="453" t="s">
        <v>526</v>
      </c>
      <c r="D127" s="451">
        <f>B127</f>
        <v>1216</v>
      </c>
      <c r="E127" s="462">
        <v>0</v>
      </c>
      <c r="F127" s="462">
        <v>0</v>
      </c>
      <c r="G127" s="376"/>
      <c r="H127" s="451">
        <f>D127*(1+$E$7)</f>
        <v>1316.2959048877146</v>
      </c>
      <c r="I127" s="462">
        <v>0</v>
      </c>
      <c r="J127" s="462">
        <v>0</v>
      </c>
      <c r="K127" s="454">
        <f>SUM(H127:J127)</f>
        <v>1316.2959048877146</v>
      </c>
      <c r="L127" s="453" t="s">
        <v>526</v>
      </c>
    </row>
    <row r="128" spans="1:17">
      <c r="A128" s="378" t="s">
        <v>534</v>
      </c>
      <c r="B128" s="452">
        <v>1527</v>
      </c>
      <c r="C128" s="453" t="s">
        <v>526</v>
      </c>
      <c r="D128" s="451">
        <f>B128</f>
        <v>1527</v>
      </c>
      <c r="E128" s="462">
        <v>0</v>
      </c>
      <c r="F128" s="462">
        <v>0</v>
      </c>
      <c r="G128" s="376"/>
      <c r="H128" s="451">
        <f>D128*(1+$E$7)</f>
        <v>1652.9472424042272</v>
      </c>
      <c r="I128" s="462">
        <v>0</v>
      </c>
      <c r="J128" s="462">
        <v>0</v>
      </c>
      <c r="K128" s="454">
        <f>SUM(H128:J128)</f>
        <v>1652.9472424042272</v>
      </c>
      <c r="L128" s="453" t="s">
        <v>526</v>
      </c>
    </row>
    <row r="129" spans="1:16" s="382" customFormat="1">
      <c r="L129" s="459"/>
    </row>
    <row r="130" spans="1:16">
      <c r="A130" s="343" t="s">
        <v>535</v>
      </c>
      <c r="I130" s="463"/>
      <c r="J130" s="463"/>
    </row>
    <row r="131" spans="1:16">
      <c r="A131" s="464" t="s">
        <v>536</v>
      </c>
    </row>
    <row r="132" spans="1:16">
      <c r="A132" s="416" t="s">
        <v>537</v>
      </c>
      <c r="D132" s="448" t="s">
        <v>454</v>
      </c>
      <c r="E132" s="448"/>
      <c r="F132" s="448"/>
      <c r="G132" s="376"/>
      <c r="H132" s="923" t="s">
        <v>455</v>
      </c>
      <c r="I132" s="923"/>
      <c r="J132" s="923"/>
      <c r="K132" s="347"/>
    </row>
    <row r="133" spans="1:16">
      <c r="B133" s="449" t="s">
        <v>457</v>
      </c>
      <c r="C133" s="347"/>
      <c r="D133" s="442" t="s">
        <v>458</v>
      </c>
      <c r="E133" s="442" t="s">
        <v>459</v>
      </c>
      <c r="F133" s="442" t="s">
        <v>460</v>
      </c>
      <c r="G133" s="376"/>
      <c r="H133" s="442" t="s">
        <v>458</v>
      </c>
      <c r="I133" s="442" t="s">
        <v>459</v>
      </c>
      <c r="J133" s="442" t="s">
        <v>460</v>
      </c>
      <c r="K133" s="450" t="s">
        <v>538</v>
      </c>
      <c r="L133" s="347"/>
    </row>
    <row r="134" spans="1:16">
      <c r="D134" s="376"/>
      <c r="E134" s="376"/>
      <c r="F134" s="376"/>
      <c r="G134" s="376"/>
      <c r="H134" s="376"/>
      <c r="I134" s="376"/>
      <c r="J134" s="376"/>
    </row>
    <row r="135" spans="1:16">
      <c r="A135" s="465" t="s">
        <v>41</v>
      </c>
      <c r="B135" s="401">
        <v>11501</v>
      </c>
      <c r="C135" s="466" t="s">
        <v>539</v>
      </c>
      <c r="D135" s="388">
        <f>+D147</f>
        <v>6766</v>
      </c>
      <c r="E135" s="388">
        <f>+E141</f>
        <v>4736</v>
      </c>
      <c r="F135" s="388">
        <v>0</v>
      </c>
      <c r="G135" s="388"/>
      <c r="H135" s="388">
        <f>D135*(1+$E$6)</f>
        <v>7365.5695839311329</v>
      </c>
      <c r="I135" s="388">
        <f>+E135*(1+$E$9)</f>
        <v>5155.6809857371927</v>
      </c>
      <c r="J135" s="388">
        <f>F135*(1+$E$10)</f>
        <v>0</v>
      </c>
      <c r="K135" s="403">
        <f t="shared" ref="K135:K139" si="20">SUM(H135:J135)</f>
        <v>12521.250569668326</v>
      </c>
      <c r="L135" s="402" t="s">
        <v>539</v>
      </c>
      <c r="N135" s="456"/>
      <c r="P135" s="467"/>
    </row>
    <row r="136" spans="1:16">
      <c r="A136" s="465" t="s">
        <v>540</v>
      </c>
      <c r="B136" s="468">
        <v>9352</v>
      </c>
      <c r="C136" s="469" t="s">
        <v>539</v>
      </c>
      <c r="D136" s="470">
        <v>0</v>
      </c>
      <c r="E136" s="470">
        <f t="shared" ref="E136:E139" si="21">B136</f>
        <v>9352</v>
      </c>
      <c r="F136" s="470">
        <v>0</v>
      </c>
      <c r="G136" s="470"/>
      <c r="H136" s="470">
        <f>D136*(1+$E$6)</f>
        <v>0</v>
      </c>
      <c r="I136" s="470">
        <f>+E136*(1+$E$9)</f>
        <v>10180.728162714153</v>
      </c>
      <c r="J136" s="470">
        <f>F136*(1+$E$10)</f>
        <v>0</v>
      </c>
      <c r="K136" s="471">
        <f t="shared" si="20"/>
        <v>10180.728162714153</v>
      </c>
      <c r="L136" s="402" t="s">
        <v>539</v>
      </c>
      <c r="N136" s="456"/>
      <c r="P136" s="467"/>
    </row>
    <row r="137" spans="1:16">
      <c r="A137" s="465" t="s">
        <v>541</v>
      </c>
      <c r="B137" s="468">
        <v>8184</v>
      </c>
      <c r="C137" s="469" t="s">
        <v>539</v>
      </c>
      <c r="D137" s="470">
        <v>0</v>
      </c>
      <c r="E137" s="470">
        <f t="shared" si="21"/>
        <v>8184</v>
      </c>
      <c r="F137" s="470">
        <v>0</v>
      </c>
      <c r="G137" s="470"/>
      <c r="H137" s="470">
        <f>D137*(1+$E$6)</f>
        <v>0</v>
      </c>
      <c r="I137" s="470">
        <f>+E137*(1+$E$9)</f>
        <v>8909.2257574478863</v>
      </c>
      <c r="J137" s="470">
        <f>F137*(1+$E$10)</f>
        <v>0</v>
      </c>
      <c r="K137" s="471">
        <f t="shared" si="20"/>
        <v>8909.2257574478863</v>
      </c>
      <c r="L137" s="402" t="s">
        <v>539</v>
      </c>
      <c r="N137" s="456"/>
      <c r="P137" s="467"/>
    </row>
    <row r="138" spans="1:16">
      <c r="A138" s="465" t="s">
        <v>542</v>
      </c>
      <c r="B138" s="468">
        <v>0</v>
      </c>
      <c r="C138" s="469" t="s">
        <v>539</v>
      </c>
      <c r="D138" s="470">
        <v>0</v>
      </c>
      <c r="E138" s="470">
        <f t="shared" si="21"/>
        <v>0</v>
      </c>
      <c r="F138" s="470">
        <v>0</v>
      </c>
      <c r="G138" s="470"/>
      <c r="H138" s="470">
        <f>D138*(1+$E$6)</f>
        <v>0</v>
      </c>
      <c r="I138" s="470">
        <f>+E138*(1+$E$9)</f>
        <v>0</v>
      </c>
      <c r="J138" s="470">
        <f>F138*(1+$E$10)</f>
        <v>0</v>
      </c>
      <c r="K138" s="471">
        <f t="shared" si="20"/>
        <v>0</v>
      </c>
      <c r="L138" s="402" t="s">
        <v>539</v>
      </c>
      <c r="N138" s="456"/>
      <c r="P138" s="467"/>
    </row>
    <row r="139" spans="1:16">
      <c r="A139" s="465" t="s">
        <v>543</v>
      </c>
      <c r="B139" s="468">
        <v>0</v>
      </c>
      <c r="C139" s="469" t="s">
        <v>539</v>
      </c>
      <c r="D139" s="470">
        <f>D145</f>
        <v>0</v>
      </c>
      <c r="E139" s="470">
        <f t="shared" si="21"/>
        <v>0</v>
      </c>
      <c r="F139" s="470">
        <v>0</v>
      </c>
      <c r="G139" s="470"/>
      <c r="H139" s="470">
        <f>D139*(1+$E$6)</f>
        <v>0</v>
      </c>
      <c r="I139" s="470">
        <f>+E139*(1+$E$9)</f>
        <v>0</v>
      </c>
      <c r="J139" s="470">
        <f>F139*(1+$E$10)</f>
        <v>0</v>
      </c>
      <c r="K139" s="471">
        <f t="shared" si="20"/>
        <v>0</v>
      </c>
      <c r="L139" s="402" t="s">
        <v>539</v>
      </c>
      <c r="N139" s="456"/>
      <c r="P139" s="467"/>
    </row>
    <row r="140" spans="1:16">
      <c r="A140" s="357" t="s">
        <v>544</v>
      </c>
      <c r="B140" s="401"/>
      <c r="C140" s="383"/>
      <c r="D140" s="388"/>
      <c r="E140" s="388"/>
      <c r="F140" s="388"/>
      <c r="G140" s="388"/>
      <c r="H140" s="388"/>
      <c r="I140" s="388"/>
      <c r="J140" s="388"/>
      <c r="K140" s="383"/>
      <c r="L140" s="383"/>
    </row>
    <row r="141" spans="1:16">
      <c r="A141" s="465" t="s">
        <v>41</v>
      </c>
      <c r="B141" s="401">
        <v>4736</v>
      </c>
      <c r="C141" s="466" t="s">
        <v>539</v>
      </c>
      <c r="D141" s="388">
        <v>0</v>
      </c>
      <c r="E141" s="388">
        <f>B141</f>
        <v>4736</v>
      </c>
      <c r="F141" s="388">
        <v>0</v>
      </c>
      <c r="G141" s="388"/>
      <c r="H141" s="388">
        <f>D141*(1+$E$6)</f>
        <v>0</v>
      </c>
      <c r="I141" s="388">
        <f>+E141*(1+$E$9)</f>
        <v>5155.6809857371927</v>
      </c>
      <c r="J141" s="388">
        <f>F141*(1+$E$10)</f>
        <v>0</v>
      </c>
      <c r="K141" s="403">
        <f t="shared" ref="K141:K145" si="22">SUM(H141:J141)</f>
        <v>5155.6809857371927</v>
      </c>
      <c r="L141" s="402" t="s">
        <v>539</v>
      </c>
      <c r="N141" s="456"/>
      <c r="P141" s="467"/>
    </row>
    <row r="142" spans="1:16">
      <c r="A142" s="465" t="s">
        <v>540</v>
      </c>
      <c r="B142" s="401">
        <v>3788</v>
      </c>
      <c r="C142" s="466" t="s">
        <v>539</v>
      </c>
      <c r="D142" s="388">
        <v>0</v>
      </c>
      <c r="E142" s="388">
        <f t="shared" ref="E142:E145" si="23">B142</f>
        <v>3788</v>
      </c>
      <c r="F142" s="388">
        <v>0</v>
      </c>
      <c r="G142" s="388"/>
      <c r="H142" s="388">
        <f>D142*(1+$E$6)</f>
        <v>0</v>
      </c>
      <c r="I142" s="388">
        <f>+E142*(1+$E$9)</f>
        <v>4123.6738965313525</v>
      </c>
      <c r="J142" s="388">
        <f>F142*(1+$E$10)</f>
        <v>0</v>
      </c>
      <c r="K142" s="403">
        <f t="shared" si="22"/>
        <v>4123.6738965313525</v>
      </c>
      <c r="L142" s="402" t="s">
        <v>539</v>
      </c>
      <c r="N142" s="456"/>
      <c r="P142" s="467"/>
    </row>
    <row r="143" spans="1:16">
      <c r="A143" s="465" t="s">
        <v>541</v>
      </c>
      <c r="B143" s="401">
        <v>3315</v>
      </c>
      <c r="C143" s="466" t="s">
        <v>539</v>
      </c>
      <c r="D143" s="388">
        <v>0</v>
      </c>
      <c r="E143" s="388">
        <f t="shared" si="23"/>
        <v>3315</v>
      </c>
      <c r="F143" s="388">
        <v>0</v>
      </c>
      <c r="G143" s="388"/>
      <c r="H143" s="388">
        <f>D143*(1+$E$6)</f>
        <v>0</v>
      </c>
      <c r="I143" s="388">
        <f>+E143*(1+$E$9)</f>
        <v>3608.7589670014345</v>
      </c>
      <c r="J143" s="388">
        <f>F143*(1+$E$10)</f>
        <v>0</v>
      </c>
      <c r="K143" s="403">
        <f t="shared" si="22"/>
        <v>3608.7589670014345</v>
      </c>
      <c r="L143" s="402" t="s">
        <v>539</v>
      </c>
      <c r="N143" s="456"/>
      <c r="P143" s="467"/>
    </row>
    <row r="144" spans="1:16">
      <c r="A144" s="465" t="s">
        <v>542</v>
      </c>
      <c r="B144" s="401">
        <v>0</v>
      </c>
      <c r="C144" s="466" t="s">
        <v>539</v>
      </c>
      <c r="D144" s="388">
        <v>0</v>
      </c>
      <c r="E144" s="388">
        <f t="shared" si="23"/>
        <v>0</v>
      </c>
      <c r="F144" s="388">
        <v>0</v>
      </c>
      <c r="G144" s="388"/>
      <c r="H144" s="388">
        <f>D144*(1+$E$6)</f>
        <v>0</v>
      </c>
      <c r="I144" s="388">
        <f>+E144*(1+$E$9)</f>
        <v>0</v>
      </c>
      <c r="J144" s="388">
        <f>F144*(1+$E$10)</f>
        <v>0</v>
      </c>
      <c r="K144" s="403">
        <f t="shared" si="22"/>
        <v>0</v>
      </c>
      <c r="L144" s="402" t="s">
        <v>539</v>
      </c>
      <c r="N144" s="456"/>
      <c r="P144" s="467"/>
    </row>
    <row r="145" spans="1:16">
      <c r="A145" s="465" t="s">
        <v>543</v>
      </c>
      <c r="B145" s="401">
        <v>0</v>
      </c>
      <c r="C145" s="466" t="s">
        <v>539</v>
      </c>
      <c r="D145" s="388">
        <f>D151</f>
        <v>0</v>
      </c>
      <c r="E145" s="388">
        <f t="shared" si="23"/>
        <v>0</v>
      </c>
      <c r="F145" s="388">
        <v>0</v>
      </c>
      <c r="G145" s="388"/>
      <c r="H145" s="388">
        <f>D145*(1+$E$6)</f>
        <v>0</v>
      </c>
      <c r="I145" s="388">
        <f>+E145*(1+$E$9)</f>
        <v>0</v>
      </c>
      <c r="J145" s="388">
        <f>F145*(1+$E$10)</f>
        <v>0</v>
      </c>
      <c r="K145" s="403">
        <f t="shared" si="22"/>
        <v>0</v>
      </c>
      <c r="L145" s="402" t="s">
        <v>539</v>
      </c>
      <c r="N145" s="456"/>
      <c r="P145" s="467"/>
    </row>
    <row r="146" spans="1:16">
      <c r="A146" s="357" t="s">
        <v>545</v>
      </c>
      <c r="B146" s="401"/>
      <c r="C146" s="466"/>
      <c r="D146" s="388"/>
      <c r="E146" s="388"/>
      <c r="F146" s="388"/>
      <c r="G146" s="388"/>
      <c r="H146" s="388"/>
      <c r="I146" s="388"/>
      <c r="J146" s="388"/>
      <c r="K146" s="403"/>
      <c r="L146" s="402"/>
      <c r="P146" s="467"/>
    </row>
    <row r="147" spans="1:16">
      <c r="A147" s="465" t="s">
        <v>41</v>
      </c>
      <c r="B147" s="401">
        <v>6766</v>
      </c>
      <c r="C147" s="466" t="s">
        <v>539</v>
      </c>
      <c r="D147" s="388">
        <f>B147</f>
        <v>6766</v>
      </c>
      <c r="E147" s="388">
        <v>0</v>
      </c>
      <c r="F147" s="388">
        <v>0</v>
      </c>
      <c r="G147" s="388"/>
      <c r="H147" s="388">
        <f>D147*(1+$E$6)</f>
        <v>7365.5695839311329</v>
      </c>
      <c r="I147" s="388">
        <f>+E147*(1+$E$9)</f>
        <v>0</v>
      </c>
      <c r="J147" s="388">
        <f>F147*(1+$E$10)</f>
        <v>0</v>
      </c>
      <c r="K147" s="403">
        <f t="shared" ref="K147:K151" si="24">SUM(H147:J147)</f>
        <v>7365.5695839311329</v>
      </c>
      <c r="L147" s="402" t="s">
        <v>539</v>
      </c>
      <c r="P147" s="467"/>
    </row>
    <row r="148" spans="1:16">
      <c r="A148" s="465" t="s">
        <v>540</v>
      </c>
      <c r="B148" s="401">
        <v>5412</v>
      </c>
      <c r="C148" s="466" t="s">
        <v>539</v>
      </c>
      <c r="D148" s="388">
        <f t="shared" ref="D148:D151" si="25">B148</f>
        <v>5412</v>
      </c>
      <c r="E148" s="388">
        <v>0</v>
      </c>
      <c r="F148" s="388">
        <v>0</v>
      </c>
      <c r="G148" s="388"/>
      <c r="H148" s="388">
        <f>D148*(1+$E$6)</f>
        <v>5891.584775086505</v>
      </c>
      <c r="I148" s="388">
        <f>+E148*(1+$E$9)</f>
        <v>0</v>
      </c>
      <c r="J148" s="388">
        <f>F148*(1+$E$10)</f>
        <v>0</v>
      </c>
      <c r="K148" s="403">
        <f t="shared" si="24"/>
        <v>5891.584775086505</v>
      </c>
      <c r="L148" s="402" t="s">
        <v>539</v>
      </c>
      <c r="P148" s="467"/>
    </row>
    <row r="149" spans="1:16">
      <c r="A149" s="465" t="s">
        <v>541</v>
      </c>
      <c r="B149" s="401">
        <v>4736</v>
      </c>
      <c r="C149" s="466" t="s">
        <v>539</v>
      </c>
      <c r="D149" s="388">
        <f t="shared" si="25"/>
        <v>4736</v>
      </c>
      <c r="E149" s="388">
        <v>0</v>
      </c>
      <c r="F149" s="388">
        <v>0</v>
      </c>
      <c r="G149" s="388"/>
      <c r="H149" s="388">
        <f>D149*(1+$E$6)</f>
        <v>5155.6809857371927</v>
      </c>
      <c r="I149" s="388">
        <f>+E149*(1+$E$9)</f>
        <v>0</v>
      </c>
      <c r="J149" s="388">
        <f>F149*(1+$E$10)</f>
        <v>0</v>
      </c>
      <c r="K149" s="403">
        <f t="shared" si="24"/>
        <v>5155.6809857371927</v>
      </c>
      <c r="L149" s="402" t="s">
        <v>539</v>
      </c>
      <c r="P149" s="467"/>
    </row>
    <row r="150" spans="1:16">
      <c r="A150" s="465" t="s">
        <v>542</v>
      </c>
      <c r="B150" s="401">
        <v>0</v>
      </c>
      <c r="C150" s="466" t="s">
        <v>539</v>
      </c>
      <c r="D150" s="388">
        <f t="shared" si="25"/>
        <v>0</v>
      </c>
      <c r="E150" s="388">
        <v>0</v>
      </c>
      <c r="F150" s="388">
        <v>0</v>
      </c>
      <c r="G150" s="388"/>
      <c r="H150" s="388">
        <f>D150*(1+$E$6)</f>
        <v>0</v>
      </c>
      <c r="I150" s="388">
        <f>+E150*(1+$E$9)</f>
        <v>0</v>
      </c>
      <c r="J150" s="388">
        <f>F150*(1+$E$10)</f>
        <v>0</v>
      </c>
      <c r="K150" s="403">
        <f t="shared" si="24"/>
        <v>0</v>
      </c>
      <c r="L150" s="402" t="s">
        <v>539</v>
      </c>
      <c r="P150" s="467"/>
    </row>
    <row r="151" spans="1:16">
      <c r="A151" s="465" t="s">
        <v>543</v>
      </c>
      <c r="B151" s="401">
        <v>0</v>
      </c>
      <c r="C151" s="466" t="s">
        <v>539</v>
      </c>
      <c r="D151" s="388">
        <f t="shared" si="25"/>
        <v>0</v>
      </c>
      <c r="E151" s="388">
        <v>0</v>
      </c>
      <c r="F151" s="388">
        <v>0</v>
      </c>
      <c r="G151" s="388"/>
      <c r="H151" s="388">
        <f>D151*(1+$E$6)</f>
        <v>0</v>
      </c>
      <c r="I151" s="388">
        <f>+E151*(1+$E$9)</f>
        <v>0</v>
      </c>
      <c r="J151" s="388">
        <f>F151*(1+$E$10)</f>
        <v>0</v>
      </c>
      <c r="K151" s="403">
        <f t="shared" si="24"/>
        <v>0</v>
      </c>
      <c r="L151" s="402" t="s">
        <v>539</v>
      </c>
      <c r="P151" s="467"/>
    </row>
    <row r="152" spans="1:16" s="382" customFormat="1">
      <c r="A152" s="472"/>
      <c r="B152" s="414"/>
      <c r="C152" s="414"/>
      <c r="D152" s="414"/>
      <c r="E152" s="414"/>
      <c r="F152" s="414"/>
      <c r="G152" s="414"/>
      <c r="H152" s="414"/>
      <c r="I152" s="414"/>
      <c r="J152" s="414"/>
      <c r="K152" s="414"/>
      <c r="L152" s="414"/>
    </row>
    <row r="153" spans="1:16" s="382" customFormat="1">
      <c r="A153" s="472"/>
      <c r="B153" s="414"/>
      <c r="C153" s="414"/>
      <c r="D153" s="414"/>
      <c r="E153" s="414"/>
      <c r="F153" s="414"/>
      <c r="G153" s="414"/>
      <c r="H153" s="414"/>
      <c r="I153" s="414"/>
      <c r="J153" s="414"/>
      <c r="K153" s="414"/>
      <c r="L153" s="414"/>
    </row>
    <row r="154" spans="1:16">
      <c r="A154" s="343" t="s">
        <v>546</v>
      </c>
      <c r="C154" s="383"/>
      <c r="D154" s="383"/>
      <c r="E154" s="383"/>
      <c r="F154" s="383"/>
      <c r="G154" s="383"/>
      <c r="H154" s="383"/>
      <c r="I154" s="383"/>
      <c r="J154" s="383"/>
      <c r="K154" s="383"/>
      <c r="L154" s="383"/>
    </row>
    <row r="155" spans="1:16">
      <c r="A155" s="376"/>
      <c r="B155" s="385" t="s">
        <v>547</v>
      </c>
      <c r="C155" s="385" t="s">
        <v>449</v>
      </c>
      <c r="D155" s="386"/>
      <c r="E155" s="386"/>
      <c r="F155" s="386"/>
      <c r="G155" s="386"/>
      <c r="H155" s="386"/>
      <c r="I155" s="386"/>
      <c r="J155" s="386"/>
      <c r="K155" s="386"/>
      <c r="L155" s="386"/>
    </row>
    <row r="156" spans="1:16">
      <c r="A156" s="376" t="s">
        <v>450</v>
      </c>
      <c r="B156" s="388">
        <v>0</v>
      </c>
      <c r="C156" s="388">
        <v>0</v>
      </c>
      <c r="D156" s="386"/>
      <c r="E156" s="386"/>
      <c r="F156" s="386"/>
      <c r="G156" s="386"/>
      <c r="H156" s="386"/>
      <c r="I156" s="386"/>
      <c r="J156" s="386"/>
      <c r="K156" s="386"/>
      <c r="L156" s="386"/>
    </row>
    <row r="157" spans="1:16">
      <c r="A157" s="376" t="s">
        <v>432</v>
      </c>
      <c r="B157" s="388">
        <v>0</v>
      </c>
      <c r="C157" s="388">
        <v>0</v>
      </c>
      <c r="D157" s="386"/>
      <c r="E157" s="386"/>
      <c r="F157" s="386"/>
      <c r="G157" s="386"/>
      <c r="H157" s="386"/>
      <c r="I157" s="386"/>
      <c r="J157" s="386"/>
      <c r="K157" s="386"/>
      <c r="L157" s="386"/>
    </row>
    <row r="158" spans="1:16">
      <c r="A158" s="376" t="s">
        <v>438</v>
      </c>
      <c r="B158" s="388">
        <v>0</v>
      </c>
      <c r="C158" s="388">
        <v>0</v>
      </c>
      <c r="D158" s="386"/>
      <c r="E158" s="386"/>
      <c r="F158" s="386"/>
      <c r="G158" s="386"/>
      <c r="H158" s="386"/>
      <c r="I158" s="386"/>
      <c r="J158" s="386"/>
      <c r="K158" s="386"/>
      <c r="L158" s="386"/>
    </row>
    <row r="159" spans="1:16" ht="13.5" thickBot="1">
      <c r="A159" s="389" t="s">
        <v>451</v>
      </c>
      <c r="B159" s="390">
        <f>SUM(B156:B158)</f>
        <v>0</v>
      </c>
      <c r="C159" s="390">
        <f>SUM(C156:C158)</f>
        <v>0</v>
      </c>
      <c r="D159" s="386"/>
      <c r="E159" s="386"/>
      <c r="F159" s="386"/>
      <c r="G159" s="386"/>
      <c r="H159" s="386"/>
      <c r="I159" s="386"/>
      <c r="J159" s="386"/>
      <c r="K159" s="386"/>
      <c r="L159" s="386"/>
    </row>
    <row r="160" spans="1:16" ht="13.5" thickTop="1">
      <c r="B160" s="386"/>
      <c r="C160" s="386"/>
      <c r="D160" s="386"/>
      <c r="E160" s="386"/>
      <c r="F160" s="386"/>
      <c r="G160" s="386"/>
      <c r="H160" s="386"/>
      <c r="I160" s="386"/>
      <c r="J160" s="386"/>
      <c r="K160" s="386"/>
      <c r="L160" s="386"/>
    </row>
    <row r="161" spans="1:16">
      <c r="A161" s="416" t="s">
        <v>548</v>
      </c>
      <c r="B161" s="386"/>
      <c r="C161" s="386"/>
      <c r="D161" s="393" t="s">
        <v>549</v>
      </c>
      <c r="E161" s="393"/>
      <c r="F161" s="393"/>
      <c r="G161" s="388"/>
      <c r="H161" s="921" t="s">
        <v>455</v>
      </c>
      <c r="I161" s="921"/>
      <c r="J161" s="921"/>
      <c r="K161" s="394"/>
      <c r="L161" s="386"/>
    </row>
    <row r="162" spans="1:16">
      <c r="A162" s="357"/>
      <c r="B162" s="396" t="s">
        <v>457</v>
      </c>
      <c r="C162" s="397"/>
      <c r="D162" s="385" t="s">
        <v>458</v>
      </c>
      <c r="E162" s="385" t="s">
        <v>459</v>
      </c>
      <c r="F162" s="385" t="s">
        <v>460</v>
      </c>
      <c r="G162" s="388"/>
      <c r="H162" s="385" t="s">
        <v>458</v>
      </c>
      <c r="I162" s="385" t="s">
        <v>459</v>
      </c>
      <c r="J162" s="385" t="s">
        <v>460</v>
      </c>
      <c r="K162" s="411" t="str">
        <f>$K$133</f>
        <v>Effective 7/21/22</v>
      </c>
      <c r="L162" s="397"/>
    </row>
    <row r="163" spans="1:16">
      <c r="B163" s="383"/>
      <c r="C163" s="412"/>
      <c r="D163" s="388"/>
      <c r="E163" s="388"/>
      <c r="F163" s="388"/>
      <c r="G163" s="388"/>
      <c r="H163" s="388"/>
      <c r="I163" s="388"/>
      <c r="J163" s="388"/>
      <c r="K163" s="413"/>
      <c r="L163" s="409"/>
      <c r="P163" s="467"/>
    </row>
    <row r="164" spans="1:16">
      <c r="A164" s="465" t="s">
        <v>41</v>
      </c>
      <c r="B164" s="401">
        <v>647</v>
      </c>
      <c r="C164" s="466" t="s">
        <v>539</v>
      </c>
      <c r="D164" s="388">
        <f>B164</f>
        <v>647</v>
      </c>
      <c r="E164" s="388">
        <v>0</v>
      </c>
      <c r="F164" s="388">
        <v>0</v>
      </c>
      <c r="G164" s="388"/>
      <c r="H164" s="388">
        <f>D164*(1+$E$6)</f>
        <v>704.33395223225591</v>
      </c>
      <c r="I164" s="388">
        <f>+E164*(1+$E$9)</f>
        <v>0</v>
      </c>
      <c r="J164" s="388">
        <f>F164*(1+$E$10)</f>
        <v>0</v>
      </c>
      <c r="K164" s="403">
        <f t="shared" ref="K164:K168" si="26">SUM(H164:J164)</f>
        <v>704.33395223225591</v>
      </c>
      <c r="L164" s="402" t="s">
        <v>539</v>
      </c>
      <c r="P164" s="467"/>
    </row>
    <row r="165" spans="1:16">
      <c r="A165" s="465" t="s">
        <v>540</v>
      </c>
      <c r="B165" s="401">
        <v>517</v>
      </c>
      <c r="C165" s="466" t="s">
        <v>539</v>
      </c>
      <c r="D165" s="388">
        <f>B165</f>
        <v>517</v>
      </c>
      <c r="E165" s="388">
        <v>0</v>
      </c>
      <c r="F165" s="388">
        <v>0</v>
      </c>
      <c r="G165" s="388"/>
      <c r="H165" s="388">
        <f>D165*(1+$E$6)</f>
        <v>562.81399274200351</v>
      </c>
      <c r="I165" s="388">
        <f>+E165*(1+$E$9)</f>
        <v>0</v>
      </c>
      <c r="J165" s="388">
        <f>F165*(1+$E$10)</f>
        <v>0</v>
      </c>
      <c r="K165" s="403">
        <f t="shared" si="26"/>
        <v>562.81399274200351</v>
      </c>
      <c r="L165" s="402" t="s">
        <v>539</v>
      </c>
      <c r="P165" s="467"/>
    </row>
    <row r="166" spans="1:16">
      <c r="A166" s="465" t="s">
        <v>541</v>
      </c>
      <c r="B166" s="401">
        <v>453</v>
      </c>
      <c r="C166" s="466" t="s">
        <v>539</v>
      </c>
      <c r="D166" s="388">
        <f>B166</f>
        <v>453</v>
      </c>
      <c r="E166" s="388">
        <v>0</v>
      </c>
      <c r="F166" s="388">
        <v>0</v>
      </c>
      <c r="G166" s="388"/>
      <c r="H166" s="388">
        <f>D166*(1+$E$6)</f>
        <v>493.14262806987932</v>
      </c>
      <c r="I166" s="388">
        <f>+E166*(1+$E$9)</f>
        <v>0</v>
      </c>
      <c r="J166" s="388">
        <f>F166*(1+$E$10)</f>
        <v>0</v>
      </c>
      <c r="K166" s="403">
        <f t="shared" si="26"/>
        <v>493.14262806987932</v>
      </c>
      <c r="L166" s="402" t="s">
        <v>539</v>
      </c>
      <c r="P166" s="467"/>
    </row>
    <row r="167" spans="1:16">
      <c r="A167" s="465" t="s">
        <v>542</v>
      </c>
      <c r="B167" s="401">
        <v>0</v>
      </c>
      <c r="C167" s="466" t="s">
        <v>539</v>
      </c>
      <c r="D167" s="388">
        <f>B167</f>
        <v>0</v>
      </c>
      <c r="E167" s="388">
        <v>0</v>
      </c>
      <c r="F167" s="388">
        <v>0</v>
      </c>
      <c r="G167" s="388"/>
      <c r="H167" s="388">
        <f>D167*(1+$E$6)</f>
        <v>0</v>
      </c>
      <c r="I167" s="388">
        <f>+E167*(1+$E$9)</f>
        <v>0</v>
      </c>
      <c r="J167" s="388">
        <f>F167*(1+$E$10)</f>
        <v>0</v>
      </c>
      <c r="K167" s="403">
        <f t="shared" si="26"/>
        <v>0</v>
      </c>
      <c r="L167" s="402" t="s">
        <v>539</v>
      </c>
      <c r="P167" s="467"/>
    </row>
    <row r="168" spans="1:16">
      <c r="A168" s="465" t="s">
        <v>543</v>
      </c>
      <c r="B168" s="401">
        <v>0</v>
      </c>
      <c r="C168" s="466" t="s">
        <v>539</v>
      </c>
      <c r="D168" s="388">
        <f>B168</f>
        <v>0</v>
      </c>
      <c r="E168" s="388">
        <v>0</v>
      </c>
      <c r="F168" s="388">
        <v>0</v>
      </c>
      <c r="G168" s="388"/>
      <c r="H168" s="388">
        <f>D168*(1+$E$6)</f>
        <v>0</v>
      </c>
      <c r="I168" s="388">
        <f>+E168*(1+$E$9)</f>
        <v>0</v>
      </c>
      <c r="J168" s="388">
        <f>F168*(1+$E$10)</f>
        <v>0</v>
      </c>
      <c r="K168" s="403">
        <f t="shared" si="26"/>
        <v>0</v>
      </c>
      <c r="L168" s="402" t="s">
        <v>539</v>
      </c>
      <c r="P168" s="467"/>
    </row>
    <row r="169" spans="1:16" s="382" customFormat="1">
      <c r="A169" s="472"/>
      <c r="B169" s="472"/>
      <c r="C169" s="414"/>
      <c r="D169" s="414"/>
      <c r="E169" s="414"/>
      <c r="F169" s="414"/>
      <c r="G169" s="414"/>
      <c r="H169" s="414"/>
      <c r="I169" s="414"/>
      <c r="J169" s="414"/>
      <c r="K169" s="414"/>
      <c r="L169" s="414"/>
    </row>
    <row r="170" spans="1:16">
      <c r="A170" s="343" t="s">
        <v>550</v>
      </c>
      <c r="C170" s="383"/>
      <c r="D170" s="383"/>
      <c r="E170" s="383"/>
      <c r="F170" s="383"/>
      <c r="G170" s="383"/>
      <c r="H170" s="383"/>
      <c r="I170" s="383"/>
      <c r="J170" s="383"/>
      <c r="K170" s="383"/>
      <c r="L170" s="383"/>
    </row>
    <row r="171" spans="1:16">
      <c r="A171" s="376"/>
      <c r="B171" s="385" t="s">
        <v>547</v>
      </c>
      <c r="C171" s="385" t="s">
        <v>449</v>
      </c>
      <c r="D171" s="386"/>
      <c r="E171" s="386"/>
      <c r="F171" s="386"/>
      <c r="G171" s="386"/>
      <c r="H171" s="386"/>
      <c r="I171" s="386"/>
      <c r="J171" s="386"/>
      <c r="K171" s="386"/>
      <c r="L171" s="386"/>
    </row>
    <row r="172" spans="1:16">
      <c r="A172" s="376" t="s">
        <v>450</v>
      </c>
      <c r="B172" s="388">
        <v>0</v>
      </c>
      <c r="C172" s="388">
        <v>0</v>
      </c>
      <c r="D172" s="386"/>
      <c r="E172" s="386"/>
      <c r="F172" s="386"/>
      <c r="G172" s="386"/>
      <c r="H172" s="386"/>
      <c r="I172" s="386"/>
      <c r="J172" s="386"/>
      <c r="K172" s="386"/>
      <c r="L172" s="386"/>
    </row>
    <row r="173" spans="1:16">
      <c r="A173" s="376" t="s">
        <v>432</v>
      </c>
      <c r="B173" s="388">
        <v>0</v>
      </c>
      <c r="C173" s="388">
        <v>0</v>
      </c>
      <c r="D173" s="386"/>
      <c r="E173" s="386"/>
      <c r="F173" s="386"/>
      <c r="G173" s="386"/>
      <c r="H173" s="386"/>
      <c r="I173" s="386"/>
      <c r="J173" s="386"/>
      <c r="K173" s="386"/>
      <c r="L173" s="386"/>
    </row>
    <row r="174" spans="1:16">
      <c r="A174" s="376" t="s">
        <v>438</v>
      </c>
      <c r="B174" s="388">
        <v>0</v>
      </c>
      <c r="C174" s="388">
        <v>0</v>
      </c>
      <c r="D174" s="386"/>
      <c r="E174" s="386"/>
      <c r="F174" s="386"/>
      <c r="G174" s="386"/>
      <c r="H174" s="386"/>
      <c r="I174" s="386"/>
      <c r="J174" s="386"/>
      <c r="K174" s="386"/>
      <c r="L174" s="386"/>
    </row>
    <row r="175" spans="1:16" ht="13.5" thickBot="1">
      <c r="A175" s="389" t="s">
        <v>451</v>
      </c>
      <c r="B175" s="390">
        <f>SUM(B172:B174)</f>
        <v>0</v>
      </c>
      <c r="C175" s="390">
        <f>SUM(C172:C174)</f>
        <v>0</v>
      </c>
      <c r="D175" s="386"/>
      <c r="E175" s="386"/>
      <c r="F175" s="386"/>
      <c r="G175" s="386"/>
      <c r="H175" s="386"/>
      <c r="I175" s="386"/>
      <c r="J175" s="386"/>
      <c r="K175" s="386"/>
      <c r="L175" s="386"/>
    </row>
    <row r="176" spans="1:16" ht="13.5" thickTop="1">
      <c r="B176" s="386"/>
      <c r="C176" s="386"/>
      <c r="D176" s="386"/>
      <c r="E176" s="386"/>
      <c r="F176" s="386"/>
      <c r="G176" s="386"/>
      <c r="H176" s="386"/>
      <c r="I176" s="386"/>
      <c r="J176" s="386"/>
      <c r="K176" s="386"/>
      <c r="L176" s="386"/>
    </row>
    <row r="177" spans="1:16">
      <c r="A177" s="416" t="s">
        <v>551</v>
      </c>
      <c r="B177" s="386"/>
      <c r="C177" s="386"/>
      <c r="D177" s="393" t="s">
        <v>549</v>
      </c>
      <c r="E177" s="393"/>
      <c r="F177" s="393"/>
      <c r="G177" s="388"/>
      <c r="H177" s="921" t="s">
        <v>455</v>
      </c>
      <c r="I177" s="921"/>
      <c r="J177" s="921"/>
      <c r="K177" s="394"/>
      <c r="L177" s="386"/>
    </row>
    <row r="178" spans="1:16">
      <c r="A178" s="357"/>
      <c r="B178" s="396" t="s">
        <v>457</v>
      </c>
      <c r="C178" s="397"/>
      <c r="D178" s="385" t="s">
        <v>458</v>
      </c>
      <c r="E178" s="385" t="s">
        <v>459</v>
      </c>
      <c r="F178" s="385" t="s">
        <v>460</v>
      </c>
      <c r="G178" s="388"/>
      <c r="H178" s="385" t="s">
        <v>458</v>
      </c>
      <c r="I178" s="385" t="s">
        <v>459</v>
      </c>
      <c r="J178" s="385" t="s">
        <v>460</v>
      </c>
      <c r="K178" s="411" t="str">
        <f>$K$133</f>
        <v>Effective 7/21/22</v>
      </c>
      <c r="L178" s="397"/>
    </row>
    <row r="179" spans="1:16">
      <c r="B179" s="383"/>
      <c r="C179" s="386"/>
      <c r="D179" s="388"/>
      <c r="E179" s="388"/>
      <c r="F179" s="388"/>
      <c r="G179" s="388"/>
      <c r="H179" s="388"/>
      <c r="I179" s="388"/>
      <c r="J179" s="388"/>
      <c r="K179" s="386"/>
      <c r="L179" s="386"/>
    </row>
    <row r="180" spans="1:16">
      <c r="A180" s="465" t="s">
        <v>41</v>
      </c>
      <c r="B180" s="401">
        <v>4.2752996802488248</v>
      </c>
      <c r="C180" s="466" t="s">
        <v>539</v>
      </c>
      <c r="D180" s="388">
        <v>0</v>
      </c>
      <c r="E180" s="388">
        <f>B180</f>
        <v>4.2752996802488248</v>
      </c>
      <c r="F180" s="388">
        <v>0</v>
      </c>
      <c r="G180" s="388"/>
      <c r="H180" s="388">
        <f>D180*(1+$E$6)</f>
        <v>0</v>
      </c>
      <c r="I180" s="388">
        <f>+E180*(1+$E$9)</f>
        <v>4.6541556735192495</v>
      </c>
      <c r="J180" s="388">
        <f>F180*(1+$E$10)</f>
        <v>0</v>
      </c>
      <c r="K180" s="403">
        <f>SUM(H180:J180)</f>
        <v>4.6541556735192495</v>
      </c>
      <c r="L180" s="402" t="s">
        <v>539</v>
      </c>
      <c r="P180" s="467"/>
    </row>
    <row r="181" spans="1:16">
      <c r="A181" s="465" t="s">
        <v>540</v>
      </c>
      <c r="B181" s="401">
        <v>3.2064747601866186</v>
      </c>
      <c r="C181" s="466" t="s">
        <v>539</v>
      </c>
      <c r="D181" s="388">
        <v>0</v>
      </c>
      <c r="E181" s="388">
        <f t="shared" ref="E181:E184" si="27">B181</f>
        <v>3.2064747601866186</v>
      </c>
      <c r="F181" s="388">
        <v>0</v>
      </c>
      <c r="G181" s="388"/>
      <c r="H181" s="388">
        <f>D181*(1+$E$6)</f>
        <v>0</v>
      </c>
      <c r="I181" s="388">
        <f>+E181*(1+$E$9)</f>
        <v>3.4906167551394374</v>
      </c>
      <c r="J181" s="388">
        <f>F181*(1+$E$10)</f>
        <v>0</v>
      </c>
      <c r="K181" s="403">
        <f t="shared" ref="K181:K184" si="28">SUM(H181:J181)</f>
        <v>3.4906167551394374</v>
      </c>
      <c r="L181" s="402" t="s">
        <v>539</v>
      </c>
      <c r="P181" s="467"/>
    </row>
    <row r="182" spans="1:16">
      <c r="A182" s="465" t="s">
        <v>541</v>
      </c>
      <c r="B182" s="401">
        <v>2.1376498401244124</v>
      </c>
      <c r="C182" s="466" t="s">
        <v>539</v>
      </c>
      <c r="D182" s="388">
        <v>0</v>
      </c>
      <c r="E182" s="388">
        <f t="shared" si="27"/>
        <v>2.1376498401244124</v>
      </c>
      <c r="F182" s="388">
        <v>0</v>
      </c>
      <c r="G182" s="388"/>
      <c r="H182" s="388">
        <f>D182*(1+$E$6)</f>
        <v>0</v>
      </c>
      <c r="I182" s="388">
        <f>+E182*(1+$E$9)</f>
        <v>2.3270778367596248</v>
      </c>
      <c r="J182" s="388">
        <f>F182*(1+$E$10)</f>
        <v>0</v>
      </c>
      <c r="K182" s="403">
        <f t="shared" si="28"/>
        <v>2.3270778367596248</v>
      </c>
      <c r="L182" s="402" t="s">
        <v>539</v>
      </c>
      <c r="P182" s="467"/>
    </row>
    <row r="183" spans="1:16">
      <c r="A183" s="465" t="s">
        <v>542</v>
      </c>
      <c r="B183" s="401">
        <v>0</v>
      </c>
      <c r="C183" s="466" t="s">
        <v>539</v>
      </c>
      <c r="D183" s="388">
        <v>0</v>
      </c>
      <c r="E183" s="388">
        <f t="shared" si="27"/>
        <v>0</v>
      </c>
      <c r="F183" s="388">
        <v>0</v>
      </c>
      <c r="G183" s="388"/>
      <c r="H183" s="388">
        <f>D183*(1+$E$6)</f>
        <v>0</v>
      </c>
      <c r="I183" s="388">
        <f>+E183*(1+$E$9)</f>
        <v>0</v>
      </c>
      <c r="J183" s="388">
        <f>F183*(1+$E$10)</f>
        <v>0</v>
      </c>
      <c r="K183" s="403">
        <f t="shared" si="28"/>
        <v>0</v>
      </c>
      <c r="L183" s="402" t="s">
        <v>539</v>
      </c>
      <c r="P183" s="467"/>
    </row>
    <row r="184" spans="1:16">
      <c r="A184" s="465" t="s">
        <v>543</v>
      </c>
      <c r="B184" s="401">
        <v>0</v>
      </c>
      <c r="C184" s="466" t="s">
        <v>539</v>
      </c>
      <c r="D184" s="388">
        <v>0</v>
      </c>
      <c r="E184" s="388">
        <f t="shared" si="27"/>
        <v>0</v>
      </c>
      <c r="F184" s="388">
        <v>0</v>
      </c>
      <c r="G184" s="388"/>
      <c r="H184" s="388">
        <f>D184*(1+$E$6)</f>
        <v>0</v>
      </c>
      <c r="I184" s="388">
        <f>+E184*(1+$E$9)</f>
        <v>0</v>
      </c>
      <c r="J184" s="388">
        <f>F184*(1+$E$10)</f>
        <v>0</v>
      </c>
      <c r="K184" s="403">
        <f t="shared" si="28"/>
        <v>0</v>
      </c>
      <c r="L184" s="402" t="s">
        <v>539</v>
      </c>
      <c r="P184" s="467"/>
    </row>
    <row r="185" spans="1:16" s="382" customFormat="1">
      <c r="A185" s="472"/>
      <c r="B185" s="472"/>
      <c r="C185" s="414"/>
      <c r="D185" s="414"/>
      <c r="E185" s="414"/>
      <c r="F185" s="414"/>
      <c r="G185" s="414"/>
      <c r="H185" s="414"/>
      <c r="I185" s="414"/>
      <c r="J185" s="414"/>
      <c r="K185" s="414"/>
      <c r="L185" s="414"/>
    </row>
    <row r="186" spans="1:16">
      <c r="A186" s="343" t="s">
        <v>552</v>
      </c>
      <c r="C186" s="383"/>
      <c r="D186" s="383"/>
      <c r="E186" s="383"/>
      <c r="F186" s="383"/>
      <c r="G186" s="383"/>
      <c r="H186" s="383"/>
      <c r="I186" s="383"/>
      <c r="J186" s="383"/>
      <c r="K186" s="383"/>
      <c r="L186" s="383"/>
    </row>
    <row r="187" spans="1:16">
      <c r="B187" s="410" t="s">
        <v>547</v>
      </c>
      <c r="C187" s="410" t="s">
        <v>449</v>
      </c>
      <c r="D187" s="386"/>
      <c r="E187" s="386"/>
      <c r="F187" s="386"/>
      <c r="G187" s="386"/>
      <c r="H187" s="386"/>
      <c r="I187" s="386"/>
      <c r="J187" s="386"/>
      <c r="K187" s="386"/>
      <c r="L187" s="386"/>
    </row>
    <row r="188" spans="1:16">
      <c r="A188" s="342" t="s">
        <v>450</v>
      </c>
      <c r="B188" s="386">
        <v>0</v>
      </c>
      <c r="C188" s="386">
        <v>0</v>
      </c>
      <c r="D188" s="386"/>
      <c r="E188" s="386"/>
      <c r="F188" s="386"/>
      <c r="G188" s="386"/>
      <c r="H188" s="386"/>
      <c r="I188" s="386"/>
      <c r="J188" s="386"/>
      <c r="K188" s="386"/>
      <c r="L188" s="386"/>
    </row>
    <row r="189" spans="1:16">
      <c r="A189" s="342" t="s">
        <v>432</v>
      </c>
      <c r="B189" s="386">
        <v>0</v>
      </c>
      <c r="C189" s="386">
        <v>0</v>
      </c>
      <c r="D189" s="386"/>
      <c r="E189" s="386"/>
      <c r="F189" s="386"/>
      <c r="G189" s="386"/>
      <c r="H189" s="386"/>
      <c r="I189" s="386"/>
      <c r="J189" s="386"/>
      <c r="K189" s="386"/>
      <c r="L189" s="386"/>
    </row>
    <row r="190" spans="1:16">
      <c r="A190" s="342" t="s">
        <v>438</v>
      </c>
      <c r="B190" s="386">
        <v>0</v>
      </c>
      <c r="C190" s="386">
        <v>0</v>
      </c>
      <c r="D190" s="386"/>
      <c r="E190" s="386"/>
      <c r="F190" s="386"/>
      <c r="G190" s="386"/>
      <c r="H190" s="386"/>
      <c r="I190" s="386"/>
      <c r="J190" s="386"/>
      <c r="K190" s="386"/>
      <c r="L190" s="386"/>
    </row>
    <row r="191" spans="1:16" ht="13.5" thickBot="1">
      <c r="A191" s="473" t="s">
        <v>451</v>
      </c>
      <c r="B191" s="474">
        <f>SUM(B188:B190)</f>
        <v>0</v>
      </c>
      <c r="C191" s="474">
        <f>SUM(C188:C190)</f>
        <v>0</v>
      </c>
      <c r="D191" s="386"/>
      <c r="E191" s="386"/>
      <c r="F191" s="386"/>
      <c r="G191" s="386"/>
      <c r="H191" s="386"/>
      <c r="I191" s="386"/>
      <c r="J191" s="386"/>
      <c r="K191" s="386"/>
      <c r="L191" s="386"/>
    </row>
    <row r="192" spans="1:16" ht="13.5" thickTop="1">
      <c r="A192" s="416" t="s">
        <v>553</v>
      </c>
      <c r="B192" s="386"/>
      <c r="C192" s="386"/>
      <c r="D192" s="386"/>
      <c r="E192" s="386"/>
      <c r="F192" s="386"/>
      <c r="G192" s="386"/>
      <c r="H192" s="386"/>
      <c r="I192" s="386"/>
      <c r="J192" s="386"/>
      <c r="K192" s="386"/>
      <c r="L192" s="386"/>
    </row>
    <row r="193" spans="1:16">
      <c r="B193" s="383"/>
      <c r="C193" s="383"/>
      <c r="D193" s="393" t="s">
        <v>549</v>
      </c>
      <c r="E193" s="393"/>
      <c r="F193" s="393"/>
      <c r="G193" s="388"/>
      <c r="H193" s="921" t="s">
        <v>455</v>
      </c>
      <c r="I193" s="921"/>
      <c r="J193" s="921"/>
      <c r="K193" s="475"/>
      <c r="L193" s="383"/>
    </row>
    <row r="194" spans="1:16">
      <c r="A194" s="357"/>
      <c r="B194" s="418" t="s">
        <v>457</v>
      </c>
      <c r="C194" s="399"/>
      <c r="D194" s="385" t="s">
        <v>458</v>
      </c>
      <c r="E194" s="385" t="s">
        <v>459</v>
      </c>
      <c r="F194" s="385" t="s">
        <v>460</v>
      </c>
      <c r="G194" s="388"/>
      <c r="H194" s="385" t="s">
        <v>458</v>
      </c>
      <c r="I194" s="385" t="s">
        <v>459</v>
      </c>
      <c r="J194" s="385" t="s">
        <v>460</v>
      </c>
      <c r="K194" s="398" t="str">
        <f>$K$133</f>
        <v>Effective 7/21/22</v>
      </c>
      <c r="L194" s="399"/>
    </row>
    <row r="195" spans="1:16">
      <c r="B195" s="383"/>
      <c r="C195" s="466"/>
      <c r="D195" s="388"/>
      <c r="E195" s="388"/>
      <c r="F195" s="388"/>
      <c r="G195" s="388"/>
      <c r="H195" s="388"/>
      <c r="I195" s="388"/>
      <c r="J195" s="388"/>
      <c r="K195" s="476"/>
      <c r="L195" s="477"/>
      <c r="P195" s="467"/>
    </row>
    <row r="196" spans="1:16">
      <c r="A196" s="465" t="s">
        <v>41</v>
      </c>
      <c r="B196" s="401">
        <v>214</v>
      </c>
      <c r="C196" s="466" t="s">
        <v>539</v>
      </c>
      <c r="D196" s="388">
        <f>B196</f>
        <v>214</v>
      </c>
      <c r="E196" s="388">
        <v>0</v>
      </c>
      <c r="F196" s="388">
        <v>0</v>
      </c>
      <c r="G196" s="388"/>
      <c r="H196" s="388">
        <f>D196*(1+$E$6)</f>
        <v>232.96362562241538</v>
      </c>
      <c r="I196" s="388">
        <f>+E196*(1+$E$9)</f>
        <v>0</v>
      </c>
      <c r="J196" s="388">
        <f>F196*(1+$E$10)</f>
        <v>0</v>
      </c>
      <c r="K196" s="403">
        <f t="shared" ref="K196:K200" si="29">SUM(H196:J196)</f>
        <v>232.96362562241538</v>
      </c>
      <c r="L196" s="402" t="s">
        <v>539</v>
      </c>
      <c r="P196" s="467"/>
    </row>
    <row r="197" spans="1:16">
      <c r="A197" s="465" t="s">
        <v>540</v>
      </c>
      <c r="B197" s="401">
        <v>172</v>
      </c>
      <c r="C197" s="466" t="s">
        <v>539</v>
      </c>
      <c r="D197" s="388">
        <f>B197</f>
        <v>172</v>
      </c>
      <c r="E197" s="388">
        <v>0</v>
      </c>
      <c r="F197" s="388">
        <v>0</v>
      </c>
      <c r="G197" s="388"/>
      <c r="H197" s="388">
        <f>D197*(1+$E$6)</f>
        <v>187.24179255633385</v>
      </c>
      <c r="I197" s="388">
        <f>+E197*(1+$E$9)</f>
        <v>0</v>
      </c>
      <c r="J197" s="388">
        <f>F197*(1+$E$10)</f>
        <v>0</v>
      </c>
      <c r="K197" s="403">
        <f t="shared" si="29"/>
        <v>187.24179255633385</v>
      </c>
      <c r="L197" s="402" t="s">
        <v>539</v>
      </c>
      <c r="P197" s="467"/>
    </row>
    <row r="198" spans="1:16">
      <c r="A198" s="465" t="s">
        <v>541</v>
      </c>
      <c r="B198" s="401">
        <v>150</v>
      </c>
      <c r="C198" s="466" t="s">
        <v>539</v>
      </c>
      <c r="D198" s="388">
        <f>B198</f>
        <v>150</v>
      </c>
      <c r="E198" s="388">
        <v>0</v>
      </c>
      <c r="F198" s="388">
        <v>0</v>
      </c>
      <c r="G198" s="388"/>
      <c r="H198" s="388">
        <f>D198*(1+$E$6)</f>
        <v>163.29226095029117</v>
      </c>
      <c r="I198" s="388">
        <f>+E198*(1+$E$9)</f>
        <v>0</v>
      </c>
      <c r="J198" s="388">
        <f>F198*(1+$E$10)</f>
        <v>0</v>
      </c>
      <c r="K198" s="403">
        <f t="shared" si="29"/>
        <v>163.29226095029117</v>
      </c>
      <c r="L198" s="402" t="s">
        <v>539</v>
      </c>
      <c r="P198" s="467"/>
    </row>
    <row r="199" spans="1:16">
      <c r="A199" s="465" t="s">
        <v>542</v>
      </c>
      <c r="B199" s="401">
        <v>0</v>
      </c>
      <c r="C199" s="466" t="s">
        <v>539</v>
      </c>
      <c r="D199" s="388">
        <f>B199</f>
        <v>0</v>
      </c>
      <c r="E199" s="388">
        <f t="shared" ref="E199:E200" si="30">B199</f>
        <v>0</v>
      </c>
      <c r="F199" s="388">
        <v>0</v>
      </c>
      <c r="G199" s="388"/>
      <c r="H199" s="388">
        <f>D199*(1+$E$6)</f>
        <v>0</v>
      </c>
      <c r="I199" s="388">
        <f>+E199*(1+$E$9)</f>
        <v>0</v>
      </c>
      <c r="J199" s="388">
        <f>F199*(1+$E$10)</f>
        <v>0</v>
      </c>
      <c r="K199" s="403">
        <f t="shared" si="29"/>
        <v>0</v>
      </c>
      <c r="L199" s="402" t="s">
        <v>539</v>
      </c>
      <c r="P199" s="467"/>
    </row>
    <row r="200" spans="1:16">
      <c r="A200" s="465" t="s">
        <v>543</v>
      </c>
      <c r="B200" s="401">
        <v>0</v>
      </c>
      <c r="C200" s="466" t="s">
        <v>539</v>
      </c>
      <c r="D200" s="388">
        <f>B200</f>
        <v>0</v>
      </c>
      <c r="E200" s="388">
        <f t="shared" si="30"/>
        <v>0</v>
      </c>
      <c r="F200" s="388">
        <v>0</v>
      </c>
      <c r="G200" s="388"/>
      <c r="H200" s="388">
        <f>D200*(1+$E$6)</f>
        <v>0</v>
      </c>
      <c r="I200" s="388">
        <f>+E200*(1+$E$9)</f>
        <v>0</v>
      </c>
      <c r="J200" s="388">
        <f>F200*(1+$E$10)</f>
        <v>0</v>
      </c>
      <c r="K200" s="403">
        <f t="shared" si="29"/>
        <v>0</v>
      </c>
      <c r="L200" s="402" t="s">
        <v>539</v>
      </c>
      <c r="P200" s="467"/>
    </row>
    <row r="201" spans="1:16" s="382" customFormat="1">
      <c r="B201" s="414"/>
      <c r="C201" s="414"/>
      <c r="D201" s="414"/>
      <c r="E201" s="414"/>
      <c r="F201" s="414"/>
      <c r="G201" s="414"/>
      <c r="H201" s="414"/>
      <c r="I201" s="414"/>
      <c r="J201" s="414"/>
      <c r="K201" s="414"/>
      <c r="L201" s="414"/>
    </row>
    <row r="202" spans="1:16">
      <c r="A202" s="343" t="s">
        <v>554</v>
      </c>
      <c r="C202" s="383"/>
      <c r="D202" s="383"/>
      <c r="E202" s="383"/>
      <c r="F202" s="383"/>
      <c r="G202" s="383"/>
      <c r="H202" s="383"/>
      <c r="I202" s="383"/>
      <c r="J202" s="383"/>
      <c r="K202" s="384"/>
      <c r="L202" s="383"/>
    </row>
    <row r="203" spans="1:16">
      <c r="A203" s="376"/>
      <c r="B203" s="385" t="s">
        <v>555</v>
      </c>
      <c r="C203" s="385" t="s">
        <v>449</v>
      </c>
      <c r="D203" s="383"/>
      <c r="E203" s="383"/>
      <c r="F203" s="383"/>
      <c r="G203" s="383"/>
      <c r="H203" s="383"/>
      <c r="I203" s="383"/>
      <c r="J203" s="383"/>
      <c r="K203" s="383"/>
      <c r="L203" s="383"/>
    </row>
    <row r="204" spans="1:16">
      <c r="A204" s="376" t="s">
        <v>450</v>
      </c>
      <c r="B204" s="388">
        <f>913625+1336519+858730</f>
        <v>3108874</v>
      </c>
      <c r="C204" s="388">
        <f>+B204/B207</f>
        <v>0.88308517984393553</v>
      </c>
      <c r="D204" s="383"/>
      <c r="E204" s="383"/>
      <c r="F204" s="383"/>
      <c r="G204" s="383"/>
      <c r="H204" s="383"/>
      <c r="I204" s="383"/>
      <c r="J204" s="383"/>
      <c r="K204" s="383"/>
      <c r="L204" s="383"/>
    </row>
    <row r="205" spans="1:16">
      <c r="A205" s="376" t="s">
        <v>432</v>
      </c>
      <c r="B205" s="388">
        <v>0</v>
      </c>
      <c r="C205" s="388">
        <f>+B205/B207</f>
        <v>0</v>
      </c>
      <c r="D205" s="383"/>
      <c r="E205" s="383"/>
      <c r="F205" s="383"/>
      <c r="G205" s="383"/>
      <c r="H205" s="383"/>
      <c r="I205" s="383"/>
      <c r="J205" s="383"/>
      <c r="K205" s="383"/>
      <c r="L205" s="383"/>
    </row>
    <row r="206" spans="1:16">
      <c r="A206" s="376" t="s">
        <v>438</v>
      </c>
      <c r="B206" s="388">
        <f>280000+40000+10892+36307+11099+11099+22198</f>
        <v>411595</v>
      </c>
      <c r="C206" s="388">
        <f>+B206/B207</f>
        <v>0.11691482015606443</v>
      </c>
      <c r="D206" s="383"/>
      <c r="E206" s="383"/>
      <c r="F206" s="383"/>
      <c r="G206" s="383"/>
      <c r="H206" s="383"/>
      <c r="I206" s="383"/>
      <c r="J206" s="383"/>
      <c r="K206" s="383"/>
      <c r="L206" s="383"/>
    </row>
    <row r="207" spans="1:16" ht="13.5" thickBot="1">
      <c r="A207" s="389" t="s">
        <v>451</v>
      </c>
      <c r="B207" s="390">
        <f>SUM(B204:B206)</f>
        <v>3520469</v>
      </c>
      <c r="C207" s="390">
        <f>SUM(C204:C206)</f>
        <v>1</v>
      </c>
      <c r="D207" s="383"/>
      <c r="E207" s="383"/>
      <c r="F207" s="383"/>
      <c r="G207" s="383"/>
      <c r="H207" s="383"/>
      <c r="I207" s="383"/>
      <c r="J207" s="383"/>
      <c r="K207" s="383"/>
      <c r="L207" s="383"/>
    </row>
    <row r="208" spans="1:16" ht="13.5" thickTop="1">
      <c r="B208" s="383"/>
      <c r="C208" s="383"/>
      <c r="D208" s="383"/>
      <c r="E208" s="383"/>
      <c r="F208" s="383"/>
      <c r="G208" s="383"/>
      <c r="H208" s="383"/>
      <c r="I208" s="383"/>
      <c r="J208" s="383"/>
      <c r="K208" s="383"/>
      <c r="L208" s="383"/>
    </row>
    <row r="209" spans="1:16">
      <c r="A209" s="416" t="s">
        <v>556</v>
      </c>
      <c r="B209" s="383"/>
      <c r="C209" s="383"/>
      <c r="D209" s="393" t="s">
        <v>454</v>
      </c>
      <c r="E209" s="393"/>
      <c r="F209" s="393"/>
      <c r="G209" s="388"/>
      <c r="H209" s="921" t="s">
        <v>455</v>
      </c>
      <c r="I209" s="921"/>
      <c r="J209" s="921"/>
      <c r="K209" s="478"/>
      <c r="L209" s="383"/>
    </row>
    <row r="210" spans="1:16">
      <c r="A210" s="357"/>
      <c r="B210" s="418" t="s">
        <v>457</v>
      </c>
      <c r="C210" s="399"/>
      <c r="D210" s="385" t="s">
        <v>458</v>
      </c>
      <c r="E210" s="385" t="s">
        <v>459</v>
      </c>
      <c r="F210" s="385" t="s">
        <v>460</v>
      </c>
      <c r="G210" s="388"/>
      <c r="H210" s="385" t="s">
        <v>458</v>
      </c>
      <c r="I210" s="385" t="s">
        <v>459</v>
      </c>
      <c r="J210" s="385" t="s">
        <v>460</v>
      </c>
      <c r="K210" s="398" t="str">
        <f>$K$133</f>
        <v>Effective 7/21/22</v>
      </c>
      <c r="L210" s="399"/>
    </row>
    <row r="211" spans="1:16">
      <c r="A211" s="342" t="s">
        <v>521</v>
      </c>
      <c r="B211" s="383"/>
      <c r="C211" s="383"/>
      <c r="D211" s="388"/>
      <c r="E211" s="388"/>
      <c r="F211" s="388"/>
      <c r="G211" s="388"/>
      <c r="H211" s="388"/>
      <c r="I211" s="388"/>
      <c r="J211" s="388"/>
      <c r="K211" s="383"/>
      <c r="L211" s="383"/>
    </row>
    <row r="212" spans="1:16">
      <c r="A212" s="465" t="s">
        <v>41</v>
      </c>
      <c r="B212" s="401">
        <v>1494</v>
      </c>
      <c r="C212" s="466" t="s">
        <v>523</v>
      </c>
      <c r="D212" s="388">
        <f>B212</f>
        <v>1494</v>
      </c>
      <c r="E212" s="388">
        <f>ROUND($C$205*B212,0)</f>
        <v>0</v>
      </c>
      <c r="F212" s="388">
        <v>0</v>
      </c>
      <c r="G212" s="388"/>
      <c r="H212" s="388">
        <f>D212*(1+$E$6)</f>
        <v>1626.3909190648999</v>
      </c>
      <c r="I212" s="388">
        <f>+E212*(1+$E$9)</f>
        <v>0</v>
      </c>
      <c r="J212" s="388">
        <f>F212*(1+$E$10)</f>
        <v>0</v>
      </c>
      <c r="K212" s="403">
        <f>SUM(H212:J212)</f>
        <v>1626.3909190648999</v>
      </c>
      <c r="L212" s="402" t="s">
        <v>523</v>
      </c>
      <c r="P212" s="467"/>
    </row>
    <row r="213" spans="1:16">
      <c r="A213" s="465" t="s">
        <v>540</v>
      </c>
      <c r="B213" s="401">
        <v>1195</v>
      </c>
      <c r="C213" s="466" t="s">
        <v>523</v>
      </c>
      <c r="D213" s="388">
        <f t="shared" ref="D213:D216" si="31">B213</f>
        <v>1195</v>
      </c>
      <c r="E213" s="388">
        <f>ROUND($C$205*B213,0)</f>
        <v>0</v>
      </c>
      <c r="F213" s="388">
        <v>0</v>
      </c>
      <c r="G213" s="388"/>
      <c r="H213" s="388">
        <f>D213*(1+$E$6)</f>
        <v>1300.8950122373196</v>
      </c>
      <c r="I213" s="388">
        <f>+E213*(1+$E$9)</f>
        <v>0</v>
      </c>
      <c r="J213" s="388">
        <f>F213*(1+$E$10)</f>
        <v>0</v>
      </c>
      <c r="K213" s="403">
        <f t="shared" ref="K213:K220" si="32">SUM(H213:J213)</f>
        <v>1300.8950122373196</v>
      </c>
      <c r="L213" s="402" t="s">
        <v>523</v>
      </c>
      <c r="P213" s="467"/>
    </row>
    <row r="214" spans="1:16">
      <c r="A214" s="465" t="s">
        <v>541</v>
      </c>
      <c r="B214" s="401">
        <v>1046</v>
      </c>
      <c r="C214" s="466" t="s">
        <v>523</v>
      </c>
      <c r="D214" s="388">
        <f t="shared" si="31"/>
        <v>1046</v>
      </c>
      <c r="E214" s="388">
        <f>ROUND($C$205*B214,0)</f>
        <v>0</v>
      </c>
      <c r="F214" s="388">
        <v>0</v>
      </c>
      <c r="G214" s="388"/>
      <c r="H214" s="388">
        <f>D214*(1+$E$6)</f>
        <v>1138.6913663600303</v>
      </c>
      <c r="I214" s="388">
        <f>+E214*(1+$E$9)</f>
        <v>0</v>
      </c>
      <c r="J214" s="388">
        <f>F214*(1+$E$10)</f>
        <v>0</v>
      </c>
      <c r="K214" s="403">
        <f t="shared" si="32"/>
        <v>1138.6913663600303</v>
      </c>
      <c r="L214" s="402" t="s">
        <v>523</v>
      </c>
      <c r="P214" s="467"/>
    </row>
    <row r="215" spans="1:16">
      <c r="A215" s="465" t="s">
        <v>542</v>
      </c>
      <c r="B215" s="401">
        <v>0</v>
      </c>
      <c r="C215" s="466" t="s">
        <v>523</v>
      </c>
      <c r="D215" s="388">
        <f t="shared" si="31"/>
        <v>0</v>
      </c>
      <c r="E215" s="388">
        <f>ROUND($C$205*B215,0)</f>
        <v>0</v>
      </c>
      <c r="F215" s="388">
        <v>0</v>
      </c>
      <c r="G215" s="388"/>
      <c r="H215" s="388">
        <f>D215*(1+$E$6)</f>
        <v>0</v>
      </c>
      <c r="I215" s="388">
        <f>+E215*(1+$E$9)</f>
        <v>0</v>
      </c>
      <c r="J215" s="388">
        <f>F215*(1+$E$10)</f>
        <v>0</v>
      </c>
      <c r="K215" s="403">
        <f t="shared" si="32"/>
        <v>0</v>
      </c>
      <c r="L215" s="402" t="s">
        <v>523</v>
      </c>
      <c r="P215" s="467"/>
    </row>
    <row r="216" spans="1:16">
      <c r="A216" s="465" t="s">
        <v>543</v>
      </c>
      <c r="B216" s="401">
        <v>0</v>
      </c>
      <c r="C216" s="466" t="s">
        <v>523</v>
      </c>
      <c r="D216" s="388">
        <f t="shared" si="31"/>
        <v>0</v>
      </c>
      <c r="E216" s="388">
        <f>ROUND($C$205*B216,0)</f>
        <v>0</v>
      </c>
      <c r="F216" s="388">
        <v>0</v>
      </c>
      <c r="G216" s="388"/>
      <c r="H216" s="388">
        <f>D216*(1+$E$6)</f>
        <v>0</v>
      </c>
      <c r="I216" s="388">
        <f>+E216*(1+$E$9)</f>
        <v>0</v>
      </c>
      <c r="J216" s="388">
        <f>F216*(1+$E$10)</f>
        <v>0</v>
      </c>
      <c r="K216" s="403">
        <f t="shared" si="32"/>
        <v>0</v>
      </c>
      <c r="L216" s="402" t="s">
        <v>523</v>
      </c>
      <c r="P216" s="467"/>
    </row>
    <row r="217" spans="1:16">
      <c r="A217" s="342" t="s">
        <v>532</v>
      </c>
      <c r="B217" s="401"/>
      <c r="C217" s="383"/>
      <c r="D217" s="388"/>
      <c r="E217" s="388"/>
      <c r="F217" s="388"/>
      <c r="G217" s="388"/>
      <c r="H217" s="388"/>
      <c r="I217" s="388"/>
      <c r="J217" s="388"/>
      <c r="K217" s="403"/>
      <c r="L217" s="403"/>
      <c r="P217" s="467"/>
    </row>
    <row r="218" spans="1:16">
      <c r="A218" s="378" t="s">
        <v>533</v>
      </c>
      <c r="B218" s="401">
        <v>996</v>
      </c>
      <c r="C218" s="466" t="s">
        <v>526</v>
      </c>
      <c r="D218" s="388">
        <f t="shared" ref="D218:D220" si="33">B218</f>
        <v>996</v>
      </c>
      <c r="E218" s="388">
        <f>ROUND($C$205*B218,0)</f>
        <v>0</v>
      </c>
      <c r="F218" s="388">
        <v>0</v>
      </c>
      <c r="G218" s="388"/>
      <c r="H218" s="388">
        <f>D218*(1+$E$6)</f>
        <v>1084.2606127099332</v>
      </c>
      <c r="I218" s="388">
        <f>+E218*(1+$E$9)</f>
        <v>0</v>
      </c>
      <c r="J218" s="388">
        <f>F218*(1+$E$10)</f>
        <v>0</v>
      </c>
      <c r="K218" s="403">
        <f t="shared" si="32"/>
        <v>1084.2606127099332</v>
      </c>
      <c r="L218" s="402" t="s">
        <v>526</v>
      </c>
      <c r="P218" s="467"/>
    </row>
    <row r="219" spans="1:16">
      <c r="A219" s="378" t="s">
        <v>557</v>
      </c>
      <c r="B219" s="401">
        <v>1643</v>
      </c>
      <c r="C219" s="466" t="s">
        <v>526</v>
      </c>
      <c r="D219" s="388">
        <f t="shared" si="33"/>
        <v>1643</v>
      </c>
      <c r="E219" s="388">
        <f>ROUND($C$205*B219,0)</f>
        <v>0</v>
      </c>
      <c r="F219" s="388">
        <v>0</v>
      </c>
      <c r="G219" s="388"/>
      <c r="H219" s="388">
        <f>D219*(1+$E$6)</f>
        <v>1788.5945649421892</v>
      </c>
      <c r="I219" s="388">
        <f>+E219*(1+$E$9)</f>
        <v>0</v>
      </c>
      <c r="J219" s="388">
        <f>F219*(1+$E$10)</f>
        <v>0</v>
      </c>
      <c r="K219" s="403">
        <f t="shared" si="32"/>
        <v>1788.5945649421892</v>
      </c>
      <c r="L219" s="402" t="s">
        <v>526</v>
      </c>
      <c r="P219" s="467"/>
    </row>
    <row r="220" spans="1:16">
      <c r="A220" s="378" t="s">
        <v>534</v>
      </c>
      <c r="B220" s="401">
        <v>697</v>
      </c>
      <c r="C220" s="466" t="s">
        <v>526</v>
      </c>
      <c r="D220" s="388">
        <f t="shared" si="33"/>
        <v>697</v>
      </c>
      <c r="E220" s="388">
        <f>ROUND($C$205*B220,0)</f>
        <v>0</v>
      </c>
      <c r="F220" s="388">
        <v>0</v>
      </c>
      <c r="G220" s="388"/>
      <c r="H220" s="388">
        <f>D220*(1+$E$6)</f>
        <v>758.76470588235293</v>
      </c>
      <c r="I220" s="388">
        <f>+E220*(1+$E$9)</f>
        <v>0</v>
      </c>
      <c r="J220" s="388">
        <f>F220*(1+$E$10)</f>
        <v>0</v>
      </c>
      <c r="K220" s="403">
        <f t="shared" si="32"/>
        <v>758.76470588235293</v>
      </c>
      <c r="L220" s="402" t="s">
        <v>526</v>
      </c>
      <c r="P220" s="467"/>
    </row>
    <row r="221" spans="1:16" s="382" customFormat="1">
      <c r="A221" s="472"/>
      <c r="B221" s="414"/>
      <c r="C221" s="479"/>
      <c r="D221" s="414"/>
      <c r="E221" s="414"/>
      <c r="F221" s="414"/>
      <c r="G221" s="414"/>
      <c r="H221" s="414"/>
      <c r="I221" s="414"/>
      <c r="J221" s="414"/>
      <c r="K221" s="415"/>
      <c r="L221" s="480"/>
    </row>
    <row r="222" spans="1:16" s="382" customFormat="1">
      <c r="B222" s="414"/>
      <c r="C222" s="414"/>
      <c r="D222" s="414"/>
      <c r="E222" s="414"/>
      <c r="F222" s="414"/>
      <c r="G222" s="414"/>
      <c r="H222" s="414"/>
      <c r="I222" s="414"/>
      <c r="J222" s="414"/>
      <c r="K222" s="414"/>
      <c r="L222" s="414"/>
    </row>
    <row r="223" spans="1:16">
      <c r="A223" s="343" t="s">
        <v>558</v>
      </c>
      <c r="B223" s="383"/>
      <c r="C223" s="383"/>
      <c r="D223" s="383"/>
      <c r="E223" s="383"/>
      <c r="F223" s="383"/>
      <c r="G223" s="383"/>
      <c r="H223" s="383"/>
      <c r="I223" s="383"/>
      <c r="J223" s="383"/>
      <c r="K223" s="384"/>
      <c r="L223" s="383"/>
    </row>
    <row r="224" spans="1:16">
      <c r="A224" s="376"/>
      <c r="B224" s="385" t="s">
        <v>555</v>
      </c>
      <c r="C224" s="385" t="s">
        <v>449</v>
      </c>
      <c r="D224" s="386"/>
      <c r="E224" s="386"/>
      <c r="F224" s="386"/>
      <c r="G224" s="386"/>
      <c r="H224" s="386"/>
      <c r="I224" s="386"/>
      <c r="J224" s="386"/>
      <c r="K224" s="386"/>
      <c r="L224" s="386"/>
    </row>
    <row r="225" spans="1:16">
      <c r="A225" s="376" t="s">
        <v>450</v>
      </c>
      <c r="B225" s="388">
        <f>913625+1336519+858730</f>
        <v>3108874</v>
      </c>
      <c r="C225" s="388">
        <f>+B225/B228</f>
        <v>0.88308517984393553</v>
      </c>
      <c r="D225" s="386"/>
      <c r="E225" s="386"/>
      <c r="F225" s="386"/>
      <c r="G225" s="386"/>
      <c r="H225" s="386"/>
      <c r="I225" s="386"/>
      <c r="J225" s="386"/>
      <c r="K225" s="386"/>
      <c r="L225" s="386"/>
    </row>
    <row r="226" spans="1:16">
      <c r="A226" s="376" t="s">
        <v>432</v>
      </c>
      <c r="B226" s="388">
        <v>0</v>
      </c>
      <c r="C226" s="388">
        <f>+B226/B228</f>
        <v>0</v>
      </c>
      <c r="D226" s="386"/>
      <c r="E226" s="386"/>
      <c r="F226" s="386"/>
      <c r="G226" s="386"/>
      <c r="H226" s="386"/>
      <c r="I226" s="386"/>
      <c r="J226" s="386"/>
      <c r="K226" s="386"/>
      <c r="L226" s="386"/>
    </row>
    <row r="227" spans="1:16">
      <c r="A227" s="376" t="s">
        <v>438</v>
      </c>
      <c r="B227" s="388">
        <f>280000+40000+10892+36307+11099+11099+22198</f>
        <v>411595</v>
      </c>
      <c r="C227" s="388">
        <f>+B227/B228</f>
        <v>0.11691482015606443</v>
      </c>
      <c r="D227" s="386"/>
      <c r="E227" s="386"/>
      <c r="F227" s="386"/>
      <c r="G227" s="386"/>
      <c r="H227" s="386"/>
      <c r="I227" s="386"/>
      <c r="J227" s="386"/>
      <c r="K227" s="386"/>
      <c r="L227" s="386"/>
    </row>
    <row r="228" spans="1:16" ht="13.5" thickBot="1">
      <c r="A228" s="389" t="s">
        <v>451</v>
      </c>
      <c r="B228" s="390">
        <f>SUM(B225:B227)</f>
        <v>3520469</v>
      </c>
      <c r="C228" s="390">
        <f>SUM(C225:C227)</f>
        <v>1</v>
      </c>
      <c r="D228" s="386"/>
      <c r="E228" s="386"/>
      <c r="F228" s="386"/>
      <c r="G228" s="386"/>
      <c r="H228" s="386"/>
      <c r="I228" s="386"/>
      <c r="J228" s="386"/>
      <c r="K228" s="386"/>
      <c r="L228" s="386"/>
    </row>
    <row r="229" spans="1:16" ht="13.5" thickTop="1">
      <c r="A229" s="376"/>
      <c r="B229" s="385" t="s">
        <v>547</v>
      </c>
      <c r="C229" s="385" t="s">
        <v>449</v>
      </c>
      <c r="D229" s="386"/>
      <c r="E229" s="386"/>
      <c r="F229" s="386"/>
      <c r="G229" s="386"/>
      <c r="H229" s="386"/>
      <c r="I229" s="386"/>
      <c r="J229" s="386"/>
      <c r="K229" s="386"/>
      <c r="L229" s="386"/>
    </row>
    <row r="230" spans="1:16">
      <c r="A230" s="376" t="s">
        <v>450</v>
      </c>
      <c r="B230" s="388">
        <v>744999</v>
      </c>
      <c r="C230" s="388">
        <f>+B230/B233</f>
        <v>0.7461787085381989</v>
      </c>
      <c r="D230" s="383"/>
      <c r="E230" s="383"/>
      <c r="F230" s="383"/>
      <c r="G230" s="383"/>
      <c r="H230" s="383"/>
      <c r="I230" s="383"/>
      <c r="J230" s="383"/>
      <c r="K230" s="383"/>
      <c r="L230" s="383"/>
    </row>
    <row r="231" spans="1:16">
      <c r="A231" s="376" t="s">
        <v>432</v>
      </c>
      <c r="B231" s="388">
        <v>0</v>
      </c>
      <c r="C231" s="388">
        <f>+B231/B233</f>
        <v>0</v>
      </c>
      <c r="D231" s="383"/>
      <c r="E231" s="383"/>
      <c r="F231" s="383"/>
      <c r="G231" s="383"/>
      <c r="H231" s="383"/>
      <c r="I231" s="383"/>
      <c r="J231" s="383"/>
      <c r="K231" s="383"/>
      <c r="L231" s="383"/>
    </row>
    <row r="232" spans="1:16">
      <c r="A232" s="376" t="s">
        <v>438</v>
      </c>
      <c r="B232" s="388">
        <v>253420</v>
      </c>
      <c r="C232" s="388">
        <f>+B232/B233</f>
        <v>0.2538212914618011</v>
      </c>
      <c r="D232" s="383"/>
      <c r="E232" s="383"/>
      <c r="F232" s="383"/>
      <c r="G232" s="383"/>
      <c r="H232" s="383"/>
      <c r="I232" s="383"/>
      <c r="J232" s="383"/>
      <c r="K232" s="383"/>
      <c r="L232" s="383"/>
    </row>
    <row r="233" spans="1:16" ht="13.5" thickBot="1">
      <c r="A233" s="389" t="s">
        <v>451</v>
      </c>
      <c r="B233" s="390">
        <f>SUM(B230:B232)</f>
        <v>998419</v>
      </c>
      <c r="C233" s="390">
        <f>SUM(C230:C232)</f>
        <v>1</v>
      </c>
      <c r="D233" s="383"/>
      <c r="E233" s="383"/>
      <c r="F233" s="383"/>
      <c r="G233" s="383"/>
      <c r="H233" s="383"/>
      <c r="I233" s="383"/>
      <c r="J233" s="383"/>
      <c r="K233" s="383"/>
      <c r="L233" s="383"/>
    </row>
    <row r="234" spans="1:16" ht="13.5" thickTop="1">
      <c r="B234" s="383"/>
      <c r="C234" s="383"/>
      <c r="D234" s="383"/>
      <c r="E234" s="383"/>
      <c r="F234" s="383"/>
      <c r="G234" s="383"/>
      <c r="H234" s="383"/>
      <c r="I234" s="383"/>
      <c r="J234" s="383"/>
      <c r="K234" s="383"/>
      <c r="L234" s="383"/>
    </row>
    <row r="235" spans="1:16">
      <c r="B235" s="383"/>
      <c r="C235" s="383"/>
      <c r="D235" s="393" t="s">
        <v>454</v>
      </c>
      <c r="E235" s="393"/>
      <c r="F235" s="393"/>
      <c r="G235" s="388"/>
      <c r="H235" s="921" t="s">
        <v>455</v>
      </c>
      <c r="I235" s="921"/>
      <c r="J235" s="921"/>
      <c r="K235" s="478"/>
      <c r="L235" s="383"/>
    </row>
    <row r="236" spans="1:16">
      <c r="A236" s="357"/>
      <c r="B236" s="418" t="s">
        <v>457</v>
      </c>
      <c r="C236" s="399"/>
      <c r="D236" s="385" t="s">
        <v>458</v>
      </c>
      <c r="E236" s="385" t="s">
        <v>459</v>
      </c>
      <c r="F236" s="385" t="s">
        <v>460</v>
      </c>
      <c r="G236" s="388"/>
      <c r="H236" s="385" t="s">
        <v>458</v>
      </c>
      <c r="I236" s="385" t="s">
        <v>459</v>
      </c>
      <c r="J236" s="385" t="s">
        <v>460</v>
      </c>
      <c r="K236" s="398" t="str">
        <f>$K$133</f>
        <v>Effective 7/21/22</v>
      </c>
      <c r="L236" s="399"/>
    </row>
    <row r="237" spans="1:16">
      <c r="A237" s="342" t="s">
        <v>521</v>
      </c>
      <c r="B237" s="383"/>
      <c r="C237" s="383"/>
      <c r="D237" s="388"/>
      <c r="E237" s="388"/>
      <c r="F237" s="388"/>
      <c r="G237" s="388"/>
      <c r="H237" s="388"/>
      <c r="I237" s="388"/>
      <c r="J237" s="388"/>
      <c r="K237" s="383"/>
      <c r="L237" s="383"/>
    </row>
    <row r="238" spans="1:16">
      <c r="A238" s="465" t="s">
        <v>41</v>
      </c>
      <c r="B238" s="401">
        <v>109</v>
      </c>
      <c r="C238" s="466" t="s">
        <v>523</v>
      </c>
      <c r="D238" s="388">
        <f>ROUND(+$C$230*B238,0)</f>
        <v>81</v>
      </c>
      <c r="E238" s="388">
        <f>ROUND($C$231*B238,0)</f>
        <v>0</v>
      </c>
      <c r="F238" s="388">
        <f>+B238-D238-E238</f>
        <v>28</v>
      </c>
      <c r="G238" s="388"/>
      <c r="H238" s="387">
        <f>D238*(1+$E$6)</f>
        <v>88.17782091315722</v>
      </c>
      <c r="I238" s="387">
        <f>+E238*(1+$E$9)</f>
        <v>0</v>
      </c>
      <c r="J238" s="387">
        <f>F238*(1+$E$10)</f>
        <v>29.400000000000002</v>
      </c>
      <c r="K238" s="403">
        <f>SUM(H238:J238)</f>
        <v>117.57782091315723</v>
      </c>
      <c r="L238" s="402" t="s">
        <v>523</v>
      </c>
      <c r="P238" s="467"/>
    </row>
    <row r="239" spans="1:16">
      <c r="A239" s="465" t="s">
        <v>540</v>
      </c>
      <c r="B239" s="401">
        <v>87</v>
      </c>
      <c r="C239" s="466" t="s">
        <v>523</v>
      </c>
      <c r="D239" s="388">
        <f>ROUND(+$C$230*B239,0)</f>
        <v>65</v>
      </c>
      <c r="E239" s="388">
        <f>ROUND($C$231*B239,0)</f>
        <v>0</v>
      </c>
      <c r="F239" s="388">
        <f t="shared" ref="F239:F246" si="34">+B239-D239-E239</f>
        <v>22</v>
      </c>
      <c r="G239" s="388"/>
      <c r="H239" s="387">
        <f t="shared" ref="H239:H246" si="35">D239*(1+$E$6)</f>
        <v>70.759979745126174</v>
      </c>
      <c r="I239" s="387">
        <f t="shared" ref="I239:I246" si="36">+E239*(1+$E$9)</f>
        <v>0</v>
      </c>
      <c r="J239" s="387">
        <f t="shared" ref="J239:J246" si="37">F239*(1+$E$10)</f>
        <v>23.1</v>
      </c>
      <c r="K239" s="403">
        <f t="shared" ref="K239:K246" si="38">SUM(H239:J239)</f>
        <v>93.859979745126168</v>
      </c>
      <c r="L239" s="402" t="s">
        <v>523</v>
      </c>
      <c r="P239" s="467"/>
    </row>
    <row r="240" spans="1:16">
      <c r="A240" s="465" t="s">
        <v>541</v>
      </c>
      <c r="B240" s="401">
        <v>77</v>
      </c>
      <c r="C240" s="466" t="s">
        <v>523</v>
      </c>
      <c r="D240" s="388">
        <f>ROUND(+$C$230*B240,0)</f>
        <v>57</v>
      </c>
      <c r="E240" s="388">
        <f>ROUND($C$231*B240,0)</f>
        <v>0</v>
      </c>
      <c r="F240" s="388">
        <f t="shared" si="34"/>
        <v>20</v>
      </c>
      <c r="G240" s="388"/>
      <c r="H240" s="387">
        <f t="shared" si="35"/>
        <v>62.051059161110636</v>
      </c>
      <c r="I240" s="387">
        <f t="shared" si="36"/>
        <v>0</v>
      </c>
      <c r="J240" s="387">
        <f t="shared" si="37"/>
        <v>21</v>
      </c>
      <c r="K240" s="403">
        <f t="shared" si="38"/>
        <v>83.051059161110629</v>
      </c>
      <c r="L240" s="402" t="s">
        <v>523</v>
      </c>
      <c r="P240" s="467"/>
    </row>
    <row r="241" spans="1:16">
      <c r="A241" s="465" t="s">
        <v>542</v>
      </c>
      <c r="B241" s="401">
        <v>0</v>
      </c>
      <c r="C241" s="466" t="s">
        <v>523</v>
      </c>
      <c r="D241" s="388">
        <f>ROUND(+$C$230*B241,0)</f>
        <v>0</v>
      </c>
      <c r="E241" s="388">
        <f>ROUND($C$231*B241,0)</f>
        <v>0</v>
      </c>
      <c r="F241" s="388">
        <f t="shared" si="34"/>
        <v>0</v>
      </c>
      <c r="G241" s="388"/>
      <c r="H241" s="387">
        <f t="shared" si="35"/>
        <v>0</v>
      </c>
      <c r="I241" s="387">
        <f t="shared" si="36"/>
        <v>0</v>
      </c>
      <c r="J241" s="387">
        <f t="shared" si="37"/>
        <v>0</v>
      </c>
      <c r="K241" s="403">
        <f t="shared" si="38"/>
        <v>0</v>
      </c>
      <c r="L241" s="402" t="s">
        <v>523</v>
      </c>
      <c r="P241" s="467"/>
    </row>
    <row r="242" spans="1:16">
      <c r="A242" s="465" t="s">
        <v>543</v>
      </c>
      <c r="B242" s="401">
        <v>0</v>
      </c>
      <c r="C242" s="466" t="s">
        <v>523</v>
      </c>
      <c r="D242" s="388">
        <f>ROUND(+$C$230*B242,0)</f>
        <v>0</v>
      </c>
      <c r="E242" s="388">
        <f>ROUND($C$231*B242,0)</f>
        <v>0</v>
      </c>
      <c r="F242" s="388">
        <f t="shared" si="34"/>
        <v>0</v>
      </c>
      <c r="G242" s="388"/>
      <c r="H242" s="387">
        <f t="shared" si="35"/>
        <v>0</v>
      </c>
      <c r="I242" s="387">
        <f t="shared" si="36"/>
        <v>0</v>
      </c>
      <c r="J242" s="387">
        <f t="shared" si="37"/>
        <v>0</v>
      </c>
      <c r="K242" s="403">
        <f t="shared" si="38"/>
        <v>0</v>
      </c>
      <c r="L242" s="402" t="s">
        <v>523</v>
      </c>
      <c r="P242" s="467"/>
    </row>
    <row r="243" spans="1:16">
      <c r="A243" s="342" t="s">
        <v>532</v>
      </c>
      <c r="B243" s="401"/>
      <c r="C243" s="383"/>
      <c r="D243" s="388"/>
      <c r="E243" s="388"/>
      <c r="F243" s="388"/>
      <c r="G243" s="388"/>
      <c r="H243" s="387"/>
      <c r="I243" s="387"/>
      <c r="J243" s="387"/>
      <c r="K243" s="403"/>
      <c r="L243" s="403"/>
      <c r="P243" s="467"/>
    </row>
    <row r="244" spans="1:16">
      <c r="A244" s="378" t="s">
        <v>533</v>
      </c>
      <c r="B244" s="401">
        <v>25</v>
      </c>
      <c r="C244" s="466" t="s">
        <v>526</v>
      </c>
      <c r="D244" s="388">
        <f>ROUND(+$C$230*B244,0)</f>
        <v>19</v>
      </c>
      <c r="E244" s="388">
        <f>ROUND($C$231*B244,0)</f>
        <v>0</v>
      </c>
      <c r="F244" s="388">
        <f t="shared" si="34"/>
        <v>6</v>
      </c>
      <c r="G244" s="388"/>
      <c r="H244" s="387">
        <f t="shared" si="35"/>
        <v>20.683686387036879</v>
      </c>
      <c r="I244" s="387">
        <f t="shared" si="36"/>
        <v>0</v>
      </c>
      <c r="J244" s="387">
        <f t="shared" si="37"/>
        <v>6.3000000000000007</v>
      </c>
      <c r="K244" s="403">
        <f t="shared" si="38"/>
        <v>26.983686387036879</v>
      </c>
      <c r="L244" s="402" t="s">
        <v>526</v>
      </c>
      <c r="P244" s="467"/>
    </row>
    <row r="245" spans="1:16">
      <c r="A245" s="378" t="s">
        <v>557</v>
      </c>
      <c r="B245" s="401">
        <v>41</v>
      </c>
      <c r="C245" s="466" t="s">
        <v>526</v>
      </c>
      <c r="D245" s="388">
        <f>ROUND(+$C$230*B245,0)</f>
        <v>31</v>
      </c>
      <c r="E245" s="388">
        <f>ROUND($C$231*B245,0)</f>
        <v>0</v>
      </c>
      <c r="F245" s="388">
        <f t="shared" si="34"/>
        <v>10</v>
      </c>
      <c r="G245" s="388"/>
      <c r="H245" s="387">
        <f t="shared" si="35"/>
        <v>33.747067263060174</v>
      </c>
      <c r="I245" s="387">
        <f t="shared" si="36"/>
        <v>0</v>
      </c>
      <c r="J245" s="387">
        <f t="shared" si="37"/>
        <v>10.5</v>
      </c>
      <c r="K245" s="403">
        <f t="shared" si="38"/>
        <v>44.247067263060174</v>
      </c>
      <c r="L245" s="402" t="s">
        <v>526</v>
      </c>
      <c r="P245" s="467"/>
    </row>
    <row r="246" spans="1:16">
      <c r="A246" s="378" t="s">
        <v>534</v>
      </c>
      <c r="B246" s="401">
        <v>18</v>
      </c>
      <c r="C246" s="466" t="s">
        <v>526</v>
      </c>
      <c r="D246" s="388">
        <f>ROUND(+$C$230*B246,0)</f>
        <v>13</v>
      </c>
      <c r="E246" s="388">
        <f>ROUND($C$231*B246,0)</f>
        <v>0</v>
      </c>
      <c r="F246" s="388">
        <f t="shared" si="34"/>
        <v>5</v>
      </c>
      <c r="G246" s="388"/>
      <c r="H246" s="387">
        <f t="shared" si="35"/>
        <v>14.151995949025233</v>
      </c>
      <c r="I246" s="387">
        <f t="shared" si="36"/>
        <v>0</v>
      </c>
      <c r="J246" s="387">
        <f t="shared" si="37"/>
        <v>5.25</v>
      </c>
      <c r="K246" s="403">
        <f t="shared" si="38"/>
        <v>19.401995949025235</v>
      </c>
      <c r="L246" s="402" t="s">
        <v>526</v>
      </c>
      <c r="P246" s="467"/>
    </row>
    <row r="247" spans="1:16" s="382" customFormat="1">
      <c r="A247" s="472"/>
      <c r="B247" s="414"/>
      <c r="C247" s="479"/>
      <c r="D247" s="414"/>
      <c r="E247" s="414"/>
      <c r="F247" s="414"/>
      <c r="G247" s="414"/>
      <c r="H247" s="414"/>
      <c r="I247" s="414"/>
      <c r="J247" s="414"/>
      <c r="K247" s="415"/>
      <c r="L247" s="480"/>
    </row>
    <row r="248" spans="1:16">
      <c r="A248" s="343" t="s">
        <v>559</v>
      </c>
      <c r="C248" s="383"/>
      <c r="D248" s="383"/>
      <c r="E248" s="383"/>
      <c r="F248" s="383"/>
      <c r="G248" s="383"/>
      <c r="H248" s="383"/>
      <c r="I248" s="383"/>
      <c r="J248" s="383"/>
      <c r="K248" s="383"/>
      <c r="L248" s="383"/>
    </row>
    <row r="249" spans="1:16">
      <c r="A249" s="376"/>
      <c r="B249" s="385" t="s">
        <v>530</v>
      </c>
      <c r="C249" s="385" t="s">
        <v>449</v>
      </c>
      <c r="D249" s="383"/>
      <c r="E249" s="383"/>
      <c r="F249" s="383"/>
      <c r="G249" s="383"/>
      <c r="H249" s="383"/>
      <c r="I249" s="383"/>
      <c r="J249" s="383"/>
      <c r="K249" s="383"/>
      <c r="L249" s="383"/>
    </row>
    <row r="250" spans="1:16">
      <c r="A250" s="376" t="s">
        <v>450</v>
      </c>
      <c r="B250" s="388">
        <f>6741+267603+813110</f>
        <v>1087454</v>
      </c>
      <c r="C250" s="481">
        <f>+B250/B253</f>
        <v>0.85841443554988606</v>
      </c>
      <c r="D250" s="383"/>
      <c r="E250" s="383"/>
      <c r="F250" s="383"/>
      <c r="G250" s="383"/>
      <c r="H250" s="383"/>
      <c r="I250" s="383"/>
      <c r="J250" s="383"/>
      <c r="K250" s="383"/>
      <c r="L250" s="383"/>
    </row>
    <row r="251" spans="1:16">
      <c r="A251" s="376" t="s">
        <v>432</v>
      </c>
      <c r="B251" s="388">
        <v>12560</v>
      </c>
      <c r="C251" s="481">
        <f>+B251/B253</f>
        <v>9.9146127656954391E-3</v>
      </c>
      <c r="D251" s="383"/>
      <c r="E251" s="383"/>
      <c r="F251" s="383"/>
      <c r="G251" s="383"/>
      <c r="H251" s="383"/>
      <c r="I251" s="383"/>
      <c r="J251" s="383"/>
      <c r="K251" s="383"/>
      <c r="L251" s="383"/>
    </row>
    <row r="252" spans="1:16">
      <c r="A252" s="376" t="s">
        <v>560</v>
      </c>
      <c r="B252" s="388">
        <v>166803</v>
      </c>
      <c r="C252" s="481">
        <f>+B252/B253</f>
        <v>0.1316709516844185</v>
      </c>
      <c r="D252" s="383"/>
      <c r="E252" s="383"/>
      <c r="F252" s="383"/>
      <c r="G252" s="383"/>
      <c r="H252" s="383"/>
      <c r="I252" s="383"/>
      <c r="J252" s="383"/>
      <c r="K252" s="383"/>
      <c r="L252" s="383"/>
    </row>
    <row r="253" spans="1:16" ht="13.5" thickBot="1">
      <c r="A253" s="389" t="s">
        <v>451</v>
      </c>
      <c r="B253" s="390">
        <f>SUM(B250:B252)</f>
        <v>1266817</v>
      </c>
      <c r="C253" s="390">
        <f>SUM(C250:C252)</f>
        <v>1</v>
      </c>
      <c r="D253" s="383"/>
      <c r="E253" s="383"/>
      <c r="F253" s="383"/>
      <c r="G253" s="383"/>
      <c r="H253" s="383"/>
      <c r="I253" s="383"/>
      <c r="J253" s="383"/>
      <c r="K253" s="383"/>
      <c r="L253" s="383"/>
    </row>
    <row r="254" spans="1:16" ht="13.5" thickTop="1">
      <c r="A254" s="376"/>
      <c r="B254" s="385" t="s">
        <v>547</v>
      </c>
      <c r="C254" s="385" t="s">
        <v>449</v>
      </c>
      <c r="D254" s="383"/>
      <c r="E254" s="383"/>
      <c r="F254" s="383"/>
      <c r="G254" s="383"/>
      <c r="H254" s="383"/>
      <c r="I254" s="383"/>
      <c r="J254" s="383"/>
      <c r="K254" s="383"/>
      <c r="L254" s="383"/>
    </row>
    <row r="255" spans="1:16">
      <c r="A255" s="376" t="s">
        <v>450</v>
      </c>
      <c r="B255" s="388">
        <v>12787835</v>
      </c>
      <c r="C255" s="388">
        <f>+B255/B258</f>
        <v>0.86705028102202597</v>
      </c>
      <c r="D255" s="383"/>
      <c r="E255" s="383"/>
      <c r="F255" s="383"/>
      <c r="G255" s="383"/>
      <c r="H255" s="383"/>
      <c r="I255" s="383"/>
      <c r="J255" s="383"/>
      <c r="K255" s="383"/>
      <c r="L255" s="383"/>
    </row>
    <row r="256" spans="1:16">
      <c r="A256" s="376" t="s">
        <v>432</v>
      </c>
      <c r="B256" s="388">
        <v>0</v>
      </c>
      <c r="C256" s="388">
        <f>+B256/B258</f>
        <v>0</v>
      </c>
      <c r="D256" s="383"/>
      <c r="E256" s="383"/>
      <c r="F256" s="383"/>
      <c r="G256" s="383"/>
      <c r="H256" s="383"/>
      <c r="I256" s="383"/>
      <c r="J256" s="383"/>
      <c r="K256" s="383"/>
      <c r="L256" s="383"/>
    </row>
    <row r="257" spans="1:16">
      <c r="A257" s="376" t="s">
        <v>438</v>
      </c>
      <c r="B257" s="388">
        <v>1960831</v>
      </c>
      <c r="C257" s="388">
        <f>+B257/B258</f>
        <v>0.132949718977974</v>
      </c>
      <c r="D257" s="383"/>
      <c r="E257" s="383"/>
      <c r="F257" s="383"/>
      <c r="G257" s="383"/>
      <c r="H257" s="383"/>
      <c r="I257" s="383"/>
      <c r="J257" s="383"/>
      <c r="K257" s="383"/>
      <c r="L257" s="383"/>
    </row>
    <row r="258" spans="1:16" ht="13.5" thickBot="1">
      <c r="A258" s="389" t="s">
        <v>451</v>
      </c>
      <c r="B258" s="390">
        <f>SUM(B255:B257)</f>
        <v>14748666</v>
      </c>
      <c r="C258" s="390">
        <f>SUM(C255:C257)</f>
        <v>1</v>
      </c>
      <c r="D258" s="383"/>
      <c r="E258" s="383"/>
      <c r="F258" s="383"/>
      <c r="G258" s="383"/>
      <c r="H258" s="383"/>
      <c r="I258" s="383"/>
      <c r="J258" s="383"/>
      <c r="K258" s="383"/>
      <c r="L258" s="383"/>
    </row>
    <row r="259" spans="1:16" ht="13.5" thickTop="1">
      <c r="B259" s="383"/>
      <c r="C259" s="383"/>
      <c r="D259" s="383"/>
      <c r="E259" s="383"/>
      <c r="F259" s="383"/>
      <c r="G259" s="383"/>
      <c r="H259" s="383"/>
      <c r="I259" s="383"/>
      <c r="J259" s="383"/>
      <c r="K259" s="383"/>
      <c r="L259" s="383"/>
    </row>
    <row r="260" spans="1:16">
      <c r="A260" s="403" t="s">
        <v>561</v>
      </c>
      <c r="B260" s="383"/>
      <c r="C260" s="383"/>
      <c r="D260" s="393" t="s">
        <v>454</v>
      </c>
      <c r="E260" s="393"/>
      <c r="F260" s="393"/>
      <c r="G260" s="388"/>
      <c r="H260" s="921" t="s">
        <v>455</v>
      </c>
      <c r="I260" s="921"/>
      <c r="J260" s="921"/>
      <c r="K260" s="478"/>
      <c r="L260" s="383"/>
    </row>
    <row r="261" spans="1:16">
      <c r="A261" s="357"/>
      <c r="B261" s="418" t="s">
        <v>457</v>
      </c>
      <c r="C261" s="399"/>
      <c r="D261" s="385" t="s">
        <v>458</v>
      </c>
      <c r="E261" s="385" t="s">
        <v>459</v>
      </c>
      <c r="F261" s="385" t="s">
        <v>460</v>
      </c>
      <c r="G261" s="388"/>
      <c r="H261" s="385" t="s">
        <v>458</v>
      </c>
      <c r="I261" s="385" t="s">
        <v>459</v>
      </c>
      <c r="J261" s="385" t="s">
        <v>460</v>
      </c>
      <c r="K261" s="398" t="str">
        <f>K24</f>
        <v>Effective 7/21/22</v>
      </c>
      <c r="L261" s="399"/>
    </row>
    <row r="262" spans="1:16">
      <c r="A262" s="342" t="s">
        <v>521</v>
      </c>
      <c r="B262" s="383"/>
      <c r="C262" s="383"/>
      <c r="D262" s="388"/>
      <c r="E262" s="388"/>
      <c r="F262" s="388"/>
      <c r="G262" s="388"/>
      <c r="H262" s="388"/>
      <c r="I262" s="388"/>
      <c r="J262" s="388"/>
      <c r="K262" s="383"/>
      <c r="L262" s="383"/>
    </row>
    <row r="263" spans="1:16">
      <c r="A263" s="465" t="s">
        <v>41</v>
      </c>
      <c r="B263" s="482">
        <v>1.62</v>
      </c>
      <c r="C263" s="402" t="s">
        <v>562</v>
      </c>
      <c r="D263" s="462">
        <f>B263</f>
        <v>1.62</v>
      </c>
      <c r="E263" s="388">
        <f>ROUND($C$256*B263,0)</f>
        <v>0</v>
      </c>
      <c r="F263" s="388"/>
      <c r="G263" s="388"/>
      <c r="H263" s="483">
        <f>D263*(1+$E$6)</f>
        <v>1.7635564182631447</v>
      </c>
      <c r="I263" s="387">
        <f>+E263*(1+$E$9)</f>
        <v>0</v>
      </c>
      <c r="J263" s="387">
        <f>F263*(1+$E$10)</f>
        <v>0</v>
      </c>
      <c r="K263" s="484">
        <f>SUM(H263:J263)</f>
        <v>1.7635564182631447</v>
      </c>
      <c r="L263" s="402" t="s">
        <v>562</v>
      </c>
      <c r="P263" s="467"/>
    </row>
    <row r="264" spans="1:16">
      <c r="A264" s="465" t="s">
        <v>540</v>
      </c>
      <c r="B264" s="482">
        <v>2.14</v>
      </c>
      <c r="C264" s="402" t="s">
        <v>562</v>
      </c>
      <c r="D264" s="462">
        <f>B264</f>
        <v>2.14</v>
      </c>
      <c r="E264" s="388">
        <f>ROUND($C$256*B264,0)</f>
        <v>0</v>
      </c>
      <c r="F264" s="388"/>
      <c r="G264" s="388"/>
      <c r="H264" s="483">
        <f t="shared" ref="H264:H266" si="39">D264*(1+$E$6)</f>
        <v>2.3296362562241542</v>
      </c>
      <c r="I264" s="387">
        <f>+E264*(1+$E$9)</f>
        <v>0</v>
      </c>
      <c r="J264" s="387">
        <f>F264*(1+$E$10)</f>
        <v>0</v>
      </c>
      <c r="K264" s="484">
        <f t="shared" ref="K264:K266" si="40">SUM(H264:J264)</f>
        <v>2.3296362562241542</v>
      </c>
      <c r="L264" s="402" t="s">
        <v>562</v>
      </c>
      <c r="P264" s="467"/>
    </row>
    <row r="265" spans="1:16">
      <c r="A265" s="465" t="s">
        <v>541</v>
      </c>
      <c r="B265" s="482">
        <v>1.19</v>
      </c>
      <c r="C265" s="402" t="s">
        <v>562</v>
      </c>
      <c r="D265" s="462">
        <f>B265</f>
        <v>1.19</v>
      </c>
      <c r="E265" s="388">
        <f>ROUND($C$256*B265,0)</f>
        <v>0</v>
      </c>
      <c r="F265" s="388"/>
      <c r="G265" s="388"/>
      <c r="H265" s="483">
        <f t="shared" si="39"/>
        <v>1.2954519368723099</v>
      </c>
      <c r="I265" s="387">
        <f>+E265*(1+$E$9)</f>
        <v>0</v>
      </c>
      <c r="J265" s="387">
        <f>F265*(1+$E$10)</f>
        <v>0</v>
      </c>
      <c r="K265" s="484">
        <f t="shared" si="40"/>
        <v>1.2954519368723099</v>
      </c>
      <c r="L265" s="402" t="s">
        <v>562</v>
      </c>
      <c r="P265" s="467"/>
    </row>
    <row r="266" spans="1:16">
      <c r="A266" s="465" t="s">
        <v>563</v>
      </c>
      <c r="B266" s="482">
        <v>0</v>
      </c>
      <c r="C266" s="402" t="s">
        <v>562</v>
      </c>
      <c r="D266" s="462">
        <f>B266</f>
        <v>0</v>
      </c>
      <c r="E266" s="388">
        <f>ROUND($C$256*B266,0)</f>
        <v>0</v>
      </c>
      <c r="F266" s="388"/>
      <c r="G266" s="388"/>
      <c r="H266" s="483">
        <f t="shared" si="39"/>
        <v>0</v>
      </c>
      <c r="I266" s="387">
        <f>+E266*(1+$E$9)</f>
        <v>0</v>
      </c>
      <c r="J266" s="387">
        <f>F266*(1+$E$10)</f>
        <v>0</v>
      </c>
      <c r="K266" s="484">
        <f t="shared" si="40"/>
        <v>0</v>
      </c>
      <c r="L266" s="402" t="s">
        <v>562</v>
      </c>
      <c r="P266" s="467"/>
    </row>
    <row r="267" spans="1:16">
      <c r="A267" s="465"/>
      <c r="B267" s="482"/>
      <c r="C267" s="466"/>
      <c r="D267" s="462"/>
      <c r="E267" s="388"/>
      <c r="F267" s="388"/>
      <c r="G267" s="388"/>
      <c r="H267" s="483"/>
      <c r="I267" s="387"/>
      <c r="J267" s="387"/>
      <c r="K267" s="484"/>
      <c r="L267" s="402"/>
      <c r="P267" s="467"/>
    </row>
    <row r="268" spans="1:16">
      <c r="A268" s="342" t="s">
        <v>532</v>
      </c>
      <c r="B268" s="482"/>
      <c r="C268" s="383"/>
      <c r="D268" s="462"/>
      <c r="E268" s="388"/>
      <c r="F268" s="388"/>
      <c r="G268" s="388"/>
      <c r="H268" s="483"/>
      <c r="I268" s="387"/>
      <c r="J268" s="387"/>
      <c r="K268" s="484"/>
      <c r="L268" s="403"/>
      <c r="P268" s="467"/>
    </row>
    <row r="269" spans="1:16">
      <c r="A269" s="378" t="s">
        <v>564</v>
      </c>
      <c r="B269" s="482">
        <v>1.81</v>
      </c>
      <c r="C269" s="402" t="s">
        <v>562</v>
      </c>
      <c r="D269" s="462">
        <f>B269</f>
        <v>1.81</v>
      </c>
      <c r="E269" s="388">
        <f>ROUND($C$256*B269,0)</f>
        <v>0</v>
      </c>
      <c r="F269" s="388"/>
      <c r="G269" s="388"/>
      <c r="H269" s="483">
        <f t="shared" ref="H269:H271" si="41">D269*(1+$E$6)</f>
        <v>1.9703932821335133</v>
      </c>
      <c r="I269" s="387">
        <f>+E269*(1+$E$9)</f>
        <v>0</v>
      </c>
      <c r="J269" s="387">
        <f>F269*(1+$E$10)</f>
        <v>0</v>
      </c>
      <c r="K269" s="484">
        <f>SUM(H269:J269)</f>
        <v>1.9703932821335133</v>
      </c>
      <c r="L269" s="402" t="s">
        <v>562</v>
      </c>
      <c r="P269" s="467"/>
    </row>
    <row r="270" spans="1:16">
      <c r="A270" s="378" t="s">
        <v>557</v>
      </c>
      <c r="B270" s="482">
        <v>2.96</v>
      </c>
      <c r="C270" s="402" t="s">
        <v>562</v>
      </c>
      <c r="D270" s="462">
        <f>B270</f>
        <v>2.96</v>
      </c>
      <c r="E270" s="388">
        <f>ROUND($C$256*B270,0)</f>
        <v>0</v>
      </c>
      <c r="F270" s="388"/>
      <c r="G270" s="388"/>
      <c r="H270" s="483">
        <f t="shared" si="41"/>
        <v>3.2223006160857453</v>
      </c>
      <c r="I270" s="387">
        <f>+E270*(1+$E$9)</f>
        <v>0</v>
      </c>
      <c r="J270" s="387">
        <f>F270*(1+$E$10)</f>
        <v>0</v>
      </c>
      <c r="K270" s="484">
        <f t="shared" ref="K270:K271" si="42">SUM(H270:J270)</f>
        <v>3.2223006160857453</v>
      </c>
      <c r="L270" s="402" t="s">
        <v>562</v>
      </c>
      <c r="P270" s="467"/>
    </row>
    <row r="271" spans="1:16">
      <c r="A271" s="378" t="s">
        <v>534</v>
      </c>
      <c r="B271" s="482">
        <v>1.26</v>
      </c>
      <c r="C271" s="402" t="s">
        <v>562</v>
      </c>
      <c r="D271" s="462">
        <f>B271</f>
        <v>1.26</v>
      </c>
      <c r="E271" s="388">
        <f>ROUND($C$256*B271,0)</f>
        <v>0</v>
      </c>
      <c r="F271" s="388"/>
      <c r="G271" s="388"/>
      <c r="H271" s="483">
        <f t="shared" si="41"/>
        <v>1.3716549919824457</v>
      </c>
      <c r="I271" s="387">
        <f>+E271*(1+$E$9)</f>
        <v>0</v>
      </c>
      <c r="J271" s="387">
        <f>F271*(1+$E$10)</f>
        <v>0</v>
      </c>
      <c r="K271" s="484">
        <f t="shared" si="42"/>
        <v>1.3716549919824457</v>
      </c>
      <c r="L271" s="402" t="s">
        <v>562</v>
      </c>
      <c r="P271" s="467"/>
    </row>
    <row r="272" spans="1:16" s="382" customFormat="1">
      <c r="A272" s="472"/>
      <c r="B272" s="414"/>
      <c r="C272" s="479"/>
      <c r="D272" s="414"/>
      <c r="E272" s="414"/>
      <c r="F272" s="414"/>
      <c r="G272" s="414"/>
      <c r="H272" s="414"/>
      <c r="I272" s="414"/>
      <c r="J272" s="414"/>
      <c r="K272" s="415"/>
      <c r="L272" s="480"/>
    </row>
    <row r="273" spans="2:12" s="382" customFormat="1">
      <c r="B273" s="414"/>
      <c r="C273" s="414"/>
      <c r="D273" s="414"/>
      <c r="E273" s="414"/>
      <c r="F273" s="414"/>
      <c r="G273" s="414"/>
      <c r="H273" s="414"/>
      <c r="I273" s="414"/>
      <c r="J273" s="414"/>
      <c r="K273" s="414"/>
      <c r="L273" s="414"/>
    </row>
    <row r="274" spans="2:12" s="382" customFormat="1"/>
    <row r="281" spans="2:12">
      <c r="J281" s="383"/>
    </row>
  </sheetData>
  <mergeCells count="15">
    <mergeCell ref="O2:P2"/>
    <mergeCell ref="H24:J24"/>
    <mergeCell ref="H55:J55"/>
    <mergeCell ref="K56:L56"/>
    <mergeCell ref="K65:M65"/>
    <mergeCell ref="H235:J235"/>
    <mergeCell ref="H260:J260"/>
    <mergeCell ref="K24:L24"/>
    <mergeCell ref="H121:J121"/>
    <mergeCell ref="H132:J132"/>
    <mergeCell ref="H161:J161"/>
    <mergeCell ref="H177:J177"/>
    <mergeCell ref="H193:J193"/>
    <mergeCell ref="H209:J209"/>
    <mergeCell ref="H100:J100"/>
  </mergeCells>
  <pageMargins left="0.75" right="0.75" top="1" bottom="1" header="0.5" footer="0.5"/>
  <pageSetup scale="64" fitToHeight="0" orientation="landscape" r:id="rId1"/>
  <headerFooter alignWithMargins="0">
    <oddFooter>&amp;L&amp;F&amp;C&amp;P of &amp;N&amp;R&amp;D</oddFooter>
  </headerFooter>
  <rowBreaks count="5" manualBreakCount="5">
    <brk id="52" max="16383" man="1"/>
    <brk id="90" max="13" man="1"/>
    <brk id="128" max="16383" man="1"/>
    <brk id="200" max="13" man="1"/>
    <brk id="246" max="16383" man="1"/>
  </rowBreaks>
  <legacy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58E7DB-B0D6-4DB3-85BF-C7E2CF70A1D0}">
  <sheetPr>
    <pageSetUpPr fitToPage="1"/>
  </sheetPr>
  <dimension ref="A1:Q75"/>
  <sheetViews>
    <sheetView topLeftCell="A4" zoomScaleNormal="100" workbookViewId="0">
      <selection activeCell="I38" sqref="I38"/>
    </sheetView>
  </sheetViews>
  <sheetFormatPr defaultRowHeight="15"/>
  <cols>
    <col min="1" max="1" width="13.6640625" style="488" customWidth="1"/>
    <col min="2" max="2" width="15.33203125" style="488" customWidth="1"/>
    <col min="3" max="3" width="17.33203125" style="488" customWidth="1"/>
    <col min="4" max="4" width="9.33203125" style="488"/>
    <col min="5" max="5" width="20.6640625" style="488" customWidth="1"/>
    <col min="6" max="6" width="28.83203125" style="488" customWidth="1"/>
    <col min="7" max="7" width="2.33203125" style="489" customWidth="1"/>
    <col min="8" max="9" width="15.83203125" style="488" customWidth="1"/>
    <col min="10" max="10" width="17.33203125" style="488" hidden="1" customWidth="1"/>
    <col min="11" max="11" width="1.6640625" style="488" customWidth="1"/>
    <col min="12" max="13" width="15.83203125" style="488" customWidth="1"/>
    <col min="14" max="14" width="5.33203125" style="488" hidden="1" customWidth="1"/>
    <col min="15" max="16" width="9.33203125" style="488"/>
    <col min="17" max="17" width="22.5" style="488" customWidth="1"/>
    <col min="18" max="16384" width="9.33203125" style="488"/>
  </cols>
  <sheetData>
    <row r="1" spans="1:14" ht="15.75">
      <c r="A1" s="488" t="s">
        <v>448</v>
      </c>
      <c r="H1" s="490" t="s">
        <v>567</v>
      </c>
    </row>
    <row r="2" spans="1:14">
      <c r="A2" s="488" t="s">
        <v>568</v>
      </c>
      <c r="H2" s="488" t="s">
        <v>569</v>
      </c>
    </row>
    <row r="3" spans="1:14">
      <c r="A3" s="488" t="s">
        <v>570</v>
      </c>
      <c r="H3" s="488" t="s">
        <v>571</v>
      </c>
    </row>
    <row r="4" spans="1:14">
      <c r="A4" s="491" t="s">
        <v>572</v>
      </c>
      <c r="H4" s="491" t="s">
        <v>573</v>
      </c>
    </row>
    <row r="6" spans="1:14" ht="30" customHeight="1">
      <c r="A6" s="492" t="s">
        <v>574</v>
      </c>
      <c r="B6" s="492" t="s">
        <v>575</v>
      </c>
      <c r="C6" s="492" t="s">
        <v>576</v>
      </c>
      <c r="D6" s="492"/>
      <c r="E6" s="492"/>
      <c r="F6" s="492"/>
      <c r="H6" s="493" t="s">
        <v>574</v>
      </c>
      <c r="I6" s="493" t="s">
        <v>575</v>
      </c>
      <c r="J6" s="494" t="s">
        <v>576</v>
      </c>
      <c r="K6" s="494"/>
      <c r="L6" s="493" t="s">
        <v>574</v>
      </c>
      <c r="M6" s="493" t="s">
        <v>575</v>
      </c>
      <c r="N6" s="492" t="s">
        <v>576</v>
      </c>
    </row>
    <row r="7" spans="1:14">
      <c r="H7" s="495" t="s">
        <v>577</v>
      </c>
      <c r="I7" s="496">
        <v>2000</v>
      </c>
      <c r="L7" s="497">
        <f t="shared" ref="L7:M28" si="0">H47</f>
        <v>2950</v>
      </c>
      <c r="M7" s="498">
        <f t="shared" si="0"/>
        <v>5.58</v>
      </c>
    </row>
    <row r="8" spans="1:14">
      <c r="A8" s="499">
        <v>1000</v>
      </c>
      <c r="B8" s="500">
        <v>2</v>
      </c>
      <c r="C8" s="500">
        <v>2000</v>
      </c>
      <c r="D8" s="501"/>
      <c r="E8" s="501"/>
      <c r="F8" s="501"/>
      <c r="H8" s="497">
        <v>1000</v>
      </c>
      <c r="I8" s="498">
        <f>ROUND(+B8*($F$11+1),2)</f>
        <v>4.3099999999999996</v>
      </c>
      <c r="J8" s="500">
        <f>H8*I8</f>
        <v>4310</v>
      </c>
      <c r="K8" s="501"/>
      <c r="L8" s="497">
        <f t="shared" si="0"/>
        <v>3000</v>
      </c>
      <c r="M8" s="498">
        <f t="shared" si="0"/>
        <v>5.6</v>
      </c>
      <c r="N8" s="500">
        <f t="shared" ref="N8:N29" si="1">J47</f>
        <v>16461</v>
      </c>
    </row>
    <row r="9" spans="1:14">
      <c r="A9" s="499">
        <v>1050</v>
      </c>
      <c r="B9" s="500">
        <v>2.02</v>
      </c>
      <c r="C9" s="500">
        <v>2116</v>
      </c>
      <c r="D9" s="501"/>
      <c r="E9" s="501"/>
      <c r="F9" s="501"/>
      <c r="H9" s="497">
        <v>1050</v>
      </c>
      <c r="I9" s="498">
        <f t="shared" ref="I9:I68" si="2">ROUND(+B9*($F$11+1),2)</f>
        <v>4.3499999999999996</v>
      </c>
      <c r="J9" s="500">
        <f t="shared" ref="J9:J68" si="3">H9*I9</f>
        <v>4567.5</v>
      </c>
      <c r="K9" s="501"/>
      <c r="L9" s="497">
        <f t="shared" si="0"/>
        <v>3050</v>
      </c>
      <c r="M9" s="498">
        <f t="shared" si="0"/>
        <v>5.65</v>
      </c>
      <c r="N9" s="500">
        <f t="shared" si="1"/>
        <v>16800</v>
      </c>
    </row>
    <row r="10" spans="1:14">
      <c r="A10" s="499">
        <v>1100</v>
      </c>
      <c r="B10" s="500">
        <v>2.0299999999999998</v>
      </c>
      <c r="C10" s="500">
        <v>2233</v>
      </c>
      <c r="D10" s="501"/>
      <c r="E10" s="501" t="s">
        <v>578</v>
      </c>
      <c r="F10" s="501"/>
      <c r="H10" s="497">
        <v>1100</v>
      </c>
      <c r="I10" s="498">
        <f t="shared" si="2"/>
        <v>4.37</v>
      </c>
      <c r="J10" s="500">
        <f t="shared" si="3"/>
        <v>4807</v>
      </c>
      <c r="K10" s="501"/>
      <c r="L10" s="497">
        <f t="shared" si="0"/>
        <v>3100</v>
      </c>
      <c r="M10" s="498">
        <f t="shared" si="0"/>
        <v>5.67</v>
      </c>
      <c r="N10" s="500">
        <f t="shared" si="1"/>
        <v>17232.5</v>
      </c>
    </row>
    <row r="11" spans="1:14">
      <c r="A11" s="499">
        <v>1150</v>
      </c>
      <c r="B11" s="500">
        <v>2.0499999999999998</v>
      </c>
      <c r="C11" s="500">
        <v>2352</v>
      </c>
      <c r="D11" s="501"/>
      <c r="E11" s="502" t="s">
        <v>579</v>
      </c>
      <c r="F11" s="503">
        <f>+((+F13-F15)/F15)</f>
        <v>1.1550248756218906</v>
      </c>
      <c r="H11" s="497">
        <v>1150</v>
      </c>
      <c r="I11" s="498">
        <f t="shared" si="2"/>
        <v>4.42</v>
      </c>
      <c r="J11" s="500">
        <f t="shared" si="3"/>
        <v>5083</v>
      </c>
      <c r="K11" s="501"/>
      <c r="L11" s="497">
        <f t="shared" si="0"/>
        <v>3150</v>
      </c>
      <c r="M11" s="498">
        <f t="shared" si="0"/>
        <v>5.71</v>
      </c>
      <c r="N11" s="500">
        <f t="shared" si="1"/>
        <v>17577</v>
      </c>
    </row>
    <row r="12" spans="1:14">
      <c r="A12" s="499">
        <v>1200</v>
      </c>
      <c r="B12" s="500">
        <v>2.06</v>
      </c>
      <c r="C12" s="500">
        <v>2472</v>
      </c>
      <c r="D12" s="501"/>
      <c r="E12" s="501" t="s">
        <v>580</v>
      </c>
      <c r="F12" s="501"/>
      <c r="H12" s="497">
        <v>1200</v>
      </c>
      <c r="I12" s="498">
        <f t="shared" si="2"/>
        <v>4.4400000000000004</v>
      </c>
      <c r="J12" s="500">
        <f t="shared" si="3"/>
        <v>5328.0000000000009</v>
      </c>
      <c r="K12" s="501"/>
      <c r="L12" s="497">
        <f t="shared" si="0"/>
        <v>3200</v>
      </c>
      <c r="M12" s="498">
        <f t="shared" si="0"/>
        <v>5.73</v>
      </c>
      <c r="N12" s="500">
        <f t="shared" si="1"/>
        <v>17986.5</v>
      </c>
    </row>
    <row r="13" spans="1:14">
      <c r="A13" s="499">
        <v>1250</v>
      </c>
      <c r="B13" s="500">
        <v>2.08</v>
      </c>
      <c r="C13" s="500">
        <v>2594</v>
      </c>
      <c r="D13" s="501"/>
      <c r="E13" s="504" t="s">
        <v>581</v>
      </c>
      <c r="F13" s="505">
        <f>AVERAGE(F26:F28)</f>
        <v>721933.33333333337</v>
      </c>
      <c r="H13" s="497">
        <v>1250</v>
      </c>
      <c r="I13" s="498">
        <f t="shared" si="2"/>
        <v>4.4800000000000004</v>
      </c>
      <c r="J13" s="500">
        <f t="shared" si="3"/>
        <v>5600.0000000000009</v>
      </c>
      <c r="K13" s="501"/>
      <c r="L13" s="497">
        <f t="shared" si="0"/>
        <v>3250</v>
      </c>
      <c r="M13" s="498">
        <f t="shared" si="0"/>
        <v>5.78</v>
      </c>
      <c r="N13" s="500">
        <f t="shared" si="1"/>
        <v>18336</v>
      </c>
    </row>
    <row r="14" spans="1:14">
      <c r="A14" s="499">
        <v>1300</v>
      </c>
      <c r="B14" s="500">
        <v>2.09</v>
      </c>
      <c r="C14" s="500">
        <v>2717</v>
      </c>
      <c r="D14" s="501"/>
      <c r="E14" s="501"/>
      <c r="F14" s="501"/>
      <c r="H14" s="497">
        <v>1300</v>
      </c>
      <c r="I14" s="498">
        <f t="shared" si="2"/>
        <v>4.5</v>
      </c>
      <c r="J14" s="500">
        <f t="shared" si="3"/>
        <v>5850</v>
      </c>
      <c r="K14" s="501"/>
      <c r="L14" s="497">
        <f t="shared" si="0"/>
        <v>3300</v>
      </c>
      <c r="M14" s="498">
        <f t="shared" si="0"/>
        <v>5.8</v>
      </c>
      <c r="N14" s="500">
        <f t="shared" si="1"/>
        <v>18785</v>
      </c>
    </row>
    <row r="15" spans="1:14">
      <c r="A15" s="499">
        <v>1350</v>
      </c>
      <c r="B15" s="500">
        <v>2.11</v>
      </c>
      <c r="C15" s="500">
        <v>2842</v>
      </c>
      <c r="D15" s="501"/>
      <c r="E15" s="501" t="s">
        <v>582</v>
      </c>
      <c r="F15" s="501">
        <v>335000</v>
      </c>
      <c r="H15" s="497">
        <v>1350</v>
      </c>
      <c r="I15" s="498">
        <f t="shared" si="2"/>
        <v>4.55</v>
      </c>
      <c r="J15" s="500">
        <f t="shared" si="3"/>
        <v>6142.5</v>
      </c>
      <c r="K15" s="501"/>
      <c r="L15" s="497">
        <f t="shared" si="0"/>
        <v>3350</v>
      </c>
      <c r="M15" s="498">
        <f t="shared" si="0"/>
        <v>5.84</v>
      </c>
      <c r="N15" s="500">
        <f t="shared" si="1"/>
        <v>19140</v>
      </c>
    </row>
    <row r="16" spans="1:14">
      <c r="A16" s="499">
        <v>1400</v>
      </c>
      <c r="B16" s="500">
        <v>2.12</v>
      </c>
      <c r="C16" s="500">
        <v>2968</v>
      </c>
      <c r="D16" s="501"/>
      <c r="E16" s="501" t="s">
        <v>583</v>
      </c>
      <c r="F16" s="501">
        <v>345000</v>
      </c>
      <c r="H16" s="497">
        <v>1400</v>
      </c>
      <c r="I16" s="498">
        <f t="shared" si="2"/>
        <v>4.57</v>
      </c>
      <c r="J16" s="500">
        <f t="shared" si="3"/>
        <v>6398</v>
      </c>
      <c r="K16" s="501"/>
      <c r="L16" s="497">
        <f t="shared" si="0"/>
        <v>3400</v>
      </c>
      <c r="M16" s="498">
        <f t="shared" si="0"/>
        <v>5.86</v>
      </c>
      <c r="N16" s="500">
        <f t="shared" si="1"/>
        <v>19564</v>
      </c>
    </row>
    <row r="17" spans="1:17">
      <c r="A17" s="499">
        <v>1450</v>
      </c>
      <c r="B17" s="500">
        <v>2.14</v>
      </c>
      <c r="C17" s="500">
        <v>3096</v>
      </c>
      <c r="D17" s="501"/>
      <c r="E17" s="501" t="s">
        <v>584</v>
      </c>
      <c r="F17" s="501">
        <v>319250</v>
      </c>
      <c r="H17" s="497">
        <v>1450</v>
      </c>
      <c r="I17" s="498">
        <f t="shared" si="2"/>
        <v>4.6100000000000003</v>
      </c>
      <c r="J17" s="500">
        <f t="shared" si="3"/>
        <v>6684.5000000000009</v>
      </c>
      <c r="K17" s="501"/>
      <c r="L17" s="497">
        <f t="shared" si="0"/>
        <v>3450</v>
      </c>
      <c r="M17" s="498">
        <f t="shared" si="0"/>
        <v>5.9</v>
      </c>
      <c r="N17" s="500">
        <f t="shared" si="1"/>
        <v>19924</v>
      </c>
    </row>
    <row r="18" spans="1:17">
      <c r="A18" s="499">
        <v>1500</v>
      </c>
      <c r="B18" s="500">
        <v>2.15</v>
      </c>
      <c r="C18" s="500">
        <v>3225</v>
      </c>
      <c r="D18" s="501"/>
      <c r="E18" s="501" t="s">
        <v>585</v>
      </c>
      <c r="F18" s="501">
        <v>344000</v>
      </c>
      <c r="H18" s="497">
        <v>1500</v>
      </c>
      <c r="I18" s="498">
        <f t="shared" si="2"/>
        <v>4.63</v>
      </c>
      <c r="J18" s="500">
        <f t="shared" si="3"/>
        <v>6945</v>
      </c>
      <c r="K18" s="501"/>
      <c r="L18" s="497">
        <f t="shared" si="0"/>
        <v>3500</v>
      </c>
      <c r="M18" s="498">
        <f t="shared" si="0"/>
        <v>5.93</v>
      </c>
      <c r="N18" s="500">
        <f t="shared" si="1"/>
        <v>20355</v>
      </c>
    </row>
    <row r="19" spans="1:17">
      <c r="A19" s="499">
        <v>1550</v>
      </c>
      <c r="B19" s="500">
        <v>2.17</v>
      </c>
      <c r="C19" s="500">
        <v>3356</v>
      </c>
      <c r="D19" s="501"/>
      <c r="E19" s="501" t="s">
        <v>586</v>
      </c>
      <c r="F19" s="501">
        <v>400500</v>
      </c>
      <c r="H19" s="497">
        <v>1550</v>
      </c>
      <c r="I19" s="498">
        <f t="shared" si="2"/>
        <v>4.68</v>
      </c>
      <c r="J19" s="500">
        <f t="shared" si="3"/>
        <v>7254</v>
      </c>
      <c r="K19" s="501"/>
      <c r="L19" s="497">
        <f t="shared" si="0"/>
        <v>3550</v>
      </c>
      <c r="M19" s="498">
        <f t="shared" si="0"/>
        <v>5.97</v>
      </c>
      <c r="N19" s="500">
        <f t="shared" si="1"/>
        <v>20755</v>
      </c>
    </row>
    <row r="20" spans="1:17">
      <c r="A20" s="499">
        <v>1600</v>
      </c>
      <c r="B20" s="500">
        <v>2.1800000000000002</v>
      </c>
      <c r="C20" s="500">
        <v>3488.0000000000005</v>
      </c>
      <c r="D20" s="501"/>
      <c r="E20" s="501" t="s">
        <v>587</v>
      </c>
      <c r="F20" s="501">
        <v>427500</v>
      </c>
      <c r="H20" s="497">
        <v>1600</v>
      </c>
      <c r="I20" s="498">
        <f t="shared" si="2"/>
        <v>4.7</v>
      </c>
      <c r="J20" s="500">
        <f t="shared" si="3"/>
        <v>7520</v>
      </c>
      <c r="K20" s="501"/>
      <c r="L20" s="497">
        <f t="shared" si="0"/>
        <v>3600</v>
      </c>
      <c r="M20" s="498">
        <f t="shared" si="0"/>
        <v>5.99</v>
      </c>
      <c r="N20" s="500">
        <f t="shared" si="1"/>
        <v>21193.5</v>
      </c>
    </row>
    <row r="21" spans="1:17">
      <c r="A21" s="499">
        <v>1650</v>
      </c>
      <c r="B21" s="500">
        <v>2.2000000000000002</v>
      </c>
      <c r="C21" s="500">
        <v>3622</v>
      </c>
      <c r="D21" s="501"/>
      <c r="E21" s="501" t="s">
        <v>588</v>
      </c>
      <c r="F21" s="501">
        <v>464500</v>
      </c>
      <c r="H21" s="497">
        <v>1650</v>
      </c>
      <c r="I21" s="498">
        <f t="shared" si="2"/>
        <v>4.74</v>
      </c>
      <c r="J21" s="500">
        <f t="shared" si="3"/>
        <v>7821</v>
      </c>
      <c r="K21" s="501"/>
      <c r="L21" s="497">
        <f t="shared" si="0"/>
        <v>3650</v>
      </c>
      <c r="M21" s="498">
        <f t="shared" si="0"/>
        <v>6.03</v>
      </c>
      <c r="N21" s="500">
        <f t="shared" si="1"/>
        <v>21564</v>
      </c>
    </row>
    <row r="22" spans="1:17">
      <c r="A22" s="499">
        <f>+A21+50</f>
        <v>1700</v>
      </c>
      <c r="B22" s="500">
        <v>2.21</v>
      </c>
      <c r="C22" s="500">
        <v>3757</v>
      </c>
      <c r="D22" s="501"/>
      <c r="E22" s="501" t="s">
        <v>589</v>
      </c>
      <c r="F22" s="501">
        <v>542500</v>
      </c>
      <c r="H22" s="497">
        <f>+H21+50</f>
        <v>1700</v>
      </c>
      <c r="I22" s="498">
        <f t="shared" si="2"/>
        <v>4.76</v>
      </c>
      <c r="J22" s="500">
        <f t="shared" si="3"/>
        <v>8092</v>
      </c>
      <c r="K22" s="501"/>
      <c r="L22" s="497">
        <f t="shared" si="0"/>
        <v>3700</v>
      </c>
      <c r="M22" s="498">
        <f t="shared" si="0"/>
        <v>6.06</v>
      </c>
      <c r="N22" s="500">
        <f t="shared" si="1"/>
        <v>22009.5</v>
      </c>
    </row>
    <row r="23" spans="1:17">
      <c r="A23" s="499">
        <f t="shared" ref="A23:A68" si="4">+A22+50</f>
        <v>1750</v>
      </c>
      <c r="B23" s="500">
        <v>2.23</v>
      </c>
      <c r="C23" s="500">
        <v>3894</v>
      </c>
      <c r="D23" s="501"/>
      <c r="E23" s="501" t="s">
        <v>590</v>
      </c>
      <c r="F23" s="501">
        <v>572500</v>
      </c>
      <c r="H23" s="497">
        <f t="shared" ref="H23:H68" si="5">+H22+50</f>
        <v>1750</v>
      </c>
      <c r="I23" s="498">
        <f t="shared" si="2"/>
        <v>4.8099999999999996</v>
      </c>
      <c r="J23" s="500">
        <f t="shared" si="3"/>
        <v>8417.5</v>
      </c>
      <c r="K23" s="501"/>
      <c r="L23" s="497">
        <f t="shared" si="0"/>
        <v>3750</v>
      </c>
      <c r="M23" s="498">
        <f t="shared" si="0"/>
        <v>6.1</v>
      </c>
      <c r="N23" s="500">
        <f t="shared" si="1"/>
        <v>22422</v>
      </c>
    </row>
    <row r="24" spans="1:17">
      <c r="A24" s="499">
        <f t="shared" si="4"/>
        <v>1800</v>
      </c>
      <c r="B24" s="500">
        <v>2.2400000000000002</v>
      </c>
      <c r="C24" s="500">
        <v>4032.0000000000005</v>
      </c>
      <c r="D24" s="501"/>
      <c r="E24" s="501" t="s">
        <v>591</v>
      </c>
      <c r="F24" s="506">
        <v>645300</v>
      </c>
      <c r="H24" s="497">
        <f t="shared" si="5"/>
        <v>1800</v>
      </c>
      <c r="I24" s="498">
        <f t="shared" si="2"/>
        <v>4.83</v>
      </c>
      <c r="J24" s="500">
        <f t="shared" si="3"/>
        <v>8694</v>
      </c>
      <c r="K24" s="501"/>
      <c r="L24" s="497">
        <f t="shared" si="0"/>
        <v>3800</v>
      </c>
      <c r="M24" s="498">
        <f t="shared" si="0"/>
        <v>6.12</v>
      </c>
      <c r="N24" s="500">
        <f t="shared" si="1"/>
        <v>22875</v>
      </c>
    </row>
    <row r="25" spans="1:17">
      <c r="A25" s="499">
        <f t="shared" si="4"/>
        <v>1850</v>
      </c>
      <c r="B25" s="500">
        <v>2.2599999999999998</v>
      </c>
      <c r="C25" s="500">
        <v>4172</v>
      </c>
      <c r="D25" s="501"/>
      <c r="E25" s="501" t="s">
        <v>592</v>
      </c>
      <c r="F25" s="506">
        <v>632450</v>
      </c>
      <c r="H25" s="497">
        <f t="shared" si="5"/>
        <v>1850</v>
      </c>
      <c r="I25" s="498">
        <f t="shared" si="2"/>
        <v>4.87</v>
      </c>
      <c r="J25" s="500">
        <f t="shared" si="3"/>
        <v>9009.5</v>
      </c>
      <c r="K25" s="501"/>
      <c r="L25" s="497">
        <f t="shared" si="0"/>
        <v>3850</v>
      </c>
      <c r="M25" s="498">
        <f t="shared" si="0"/>
        <v>6.16</v>
      </c>
      <c r="N25" s="500">
        <f t="shared" si="1"/>
        <v>23256</v>
      </c>
    </row>
    <row r="26" spans="1:17">
      <c r="A26" s="499">
        <f t="shared" si="4"/>
        <v>1900</v>
      </c>
      <c r="B26" s="500">
        <v>2.27</v>
      </c>
      <c r="C26" s="500">
        <v>4313</v>
      </c>
      <c r="D26" s="501"/>
      <c r="E26" s="501" t="s">
        <v>593</v>
      </c>
      <c r="F26" s="506">
        <v>665000</v>
      </c>
      <c r="H26" s="497">
        <f t="shared" si="5"/>
        <v>1900</v>
      </c>
      <c r="I26" s="498">
        <f t="shared" si="2"/>
        <v>4.8899999999999997</v>
      </c>
      <c r="J26" s="500">
        <f t="shared" si="3"/>
        <v>9291</v>
      </c>
      <c r="K26" s="501"/>
      <c r="L26" s="497">
        <f t="shared" si="0"/>
        <v>3900</v>
      </c>
      <c r="M26" s="498">
        <f t="shared" si="0"/>
        <v>6.18</v>
      </c>
      <c r="N26" s="500">
        <f t="shared" si="1"/>
        <v>23716</v>
      </c>
    </row>
    <row r="27" spans="1:17">
      <c r="A27" s="499">
        <f t="shared" si="4"/>
        <v>1950</v>
      </c>
      <c r="B27" s="500">
        <v>2.29</v>
      </c>
      <c r="C27" s="500">
        <v>4465</v>
      </c>
      <c r="D27" s="501"/>
      <c r="E27" s="501" t="s">
        <v>594</v>
      </c>
      <c r="F27" s="506">
        <v>715800</v>
      </c>
      <c r="H27" s="497">
        <f t="shared" si="5"/>
        <v>1950</v>
      </c>
      <c r="I27" s="498">
        <f t="shared" si="2"/>
        <v>4.9400000000000004</v>
      </c>
      <c r="J27" s="500">
        <f t="shared" si="3"/>
        <v>9633</v>
      </c>
      <c r="K27" s="501"/>
      <c r="L27" s="497">
        <f t="shared" si="0"/>
        <v>3950</v>
      </c>
      <c r="M27" s="498">
        <f t="shared" si="0"/>
        <v>6.23</v>
      </c>
      <c r="N27" s="500">
        <f t="shared" si="1"/>
        <v>24102</v>
      </c>
      <c r="Q27" s="506"/>
    </row>
    <row r="28" spans="1:17">
      <c r="A28" s="499">
        <f t="shared" si="4"/>
        <v>2000</v>
      </c>
      <c r="B28" s="500">
        <v>2.2999999999999998</v>
      </c>
      <c r="C28" s="500">
        <v>4600</v>
      </c>
      <c r="D28" s="501"/>
      <c r="E28" s="501" t="s">
        <v>595</v>
      </c>
      <c r="F28" s="507">
        <f>MEDIAN(F39:F41)</f>
        <v>785000</v>
      </c>
      <c r="H28" s="497">
        <f t="shared" si="5"/>
        <v>2000</v>
      </c>
      <c r="I28" s="498">
        <f t="shared" si="2"/>
        <v>4.96</v>
      </c>
      <c r="J28" s="500">
        <f t="shared" si="3"/>
        <v>9920</v>
      </c>
      <c r="K28" s="501"/>
      <c r="L28" s="497">
        <f t="shared" si="0"/>
        <v>4000</v>
      </c>
      <c r="M28" s="498">
        <f t="shared" si="0"/>
        <v>6.25</v>
      </c>
      <c r="N28" s="500">
        <f t="shared" si="1"/>
        <v>24608.5</v>
      </c>
    </row>
    <row r="29" spans="1:17">
      <c r="A29" s="499">
        <f t="shared" si="4"/>
        <v>2050</v>
      </c>
      <c r="B29" s="500">
        <v>2.3199999999999998</v>
      </c>
      <c r="C29" s="500">
        <v>4756</v>
      </c>
      <c r="D29" s="501"/>
      <c r="H29" s="497">
        <f t="shared" si="5"/>
        <v>2050</v>
      </c>
      <c r="I29" s="498">
        <f t="shared" si="2"/>
        <v>5</v>
      </c>
      <c r="J29" s="500">
        <f t="shared" si="3"/>
        <v>10250</v>
      </c>
      <c r="K29" s="501"/>
      <c r="N29" s="500">
        <f t="shared" si="1"/>
        <v>25000</v>
      </c>
    </row>
    <row r="30" spans="1:17">
      <c r="A30" s="499">
        <f t="shared" si="4"/>
        <v>2100</v>
      </c>
      <c r="B30" s="500">
        <v>2.33</v>
      </c>
      <c r="C30" s="500">
        <v>4893</v>
      </c>
      <c r="D30" s="501"/>
      <c r="H30" s="497">
        <f t="shared" si="5"/>
        <v>2100</v>
      </c>
      <c r="I30" s="498">
        <f t="shared" si="2"/>
        <v>5.0199999999999996</v>
      </c>
      <c r="J30" s="500">
        <f t="shared" si="3"/>
        <v>10542</v>
      </c>
      <c r="K30" s="501"/>
      <c r="L30" s="501"/>
      <c r="M30" s="501"/>
    </row>
    <row r="31" spans="1:17">
      <c r="A31" s="499">
        <f t="shared" si="4"/>
        <v>2150</v>
      </c>
      <c r="B31" s="500">
        <v>2.35</v>
      </c>
      <c r="C31" s="500">
        <v>5042</v>
      </c>
      <c r="D31" s="501"/>
      <c r="H31" s="497">
        <f t="shared" si="5"/>
        <v>2150</v>
      </c>
      <c r="I31" s="498">
        <f t="shared" si="2"/>
        <v>5.0599999999999996</v>
      </c>
      <c r="J31" s="500">
        <f t="shared" si="3"/>
        <v>10879</v>
      </c>
      <c r="K31" s="501"/>
      <c r="L31" s="501"/>
      <c r="M31" s="501"/>
    </row>
    <row r="32" spans="1:17">
      <c r="A32" s="499">
        <f t="shared" si="4"/>
        <v>2200</v>
      </c>
      <c r="B32" s="500">
        <v>2.36</v>
      </c>
      <c r="C32" s="500">
        <v>5192</v>
      </c>
      <c r="D32" s="501"/>
      <c r="H32" s="497">
        <f t="shared" si="5"/>
        <v>2200</v>
      </c>
      <c r="I32" s="498">
        <f t="shared" si="2"/>
        <v>5.09</v>
      </c>
      <c r="J32" s="500">
        <f t="shared" si="3"/>
        <v>11198</v>
      </c>
      <c r="K32" s="501"/>
      <c r="L32" s="501"/>
      <c r="M32" s="501"/>
    </row>
    <row r="33" spans="1:13">
      <c r="A33" s="499">
        <f t="shared" si="4"/>
        <v>2250</v>
      </c>
      <c r="B33" s="500">
        <v>2.38</v>
      </c>
      <c r="C33" s="500">
        <v>5344</v>
      </c>
      <c r="D33" s="501"/>
      <c r="H33" s="497">
        <f t="shared" si="5"/>
        <v>2250</v>
      </c>
      <c r="I33" s="498">
        <f t="shared" si="2"/>
        <v>5.13</v>
      </c>
      <c r="J33" s="500">
        <f t="shared" si="3"/>
        <v>11542.5</v>
      </c>
      <c r="K33" s="501"/>
      <c r="L33" s="501"/>
      <c r="M33" s="501"/>
    </row>
    <row r="34" spans="1:13">
      <c r="A34" s="499">
        <f t="shared" si="4"/>
        <v>2300</v>
      </c>
      <c r="B34" s="500">
        <v>2.39</v>
      </c>
      <c r="C34" s="500">
        <v>5497</v>
      </c>
      <c r="D34" s="501"/>
      <c r="E34" s="501" t="s">
        <v>596</v>
      </c>
      <c r="F34" s="501"/>
      <c r="H34" s="497">
        <f t="shared" si="5"/>
        <v>2300</v>
      </c>
      <c r="I34" s="498">
        <f t="shared" si="2"/>
        <v>5.15</v>
      </c>
      <c r="J34" s="500">
        <f t="shared" si="3"/>
        <v>11845</v>
      </c>
      <c r="K34" s="501"/>
      <c r="L34" s="501"/>
      <c r="M34" s="501"/>
    </row>
    <row r="35" spans="1:13">
      <c r="A35" s="499">
        <f t="shared" si="4"/>
        <v>2350</v>
      </c>
      <c r="B35" s="500">
        <v>2.41</v>
      </c>
      <c r="C35" s="500">
        <v>5652</v>
      </c>
      <c r="D35" s="501"/>
      <c r="E35" s="501" t="s">
        <v>597</v>
      </c>
      <c r="F35" s="501"/>
      <c r="H35" s="497">
        <f t="shared" si="5"/>
        <v>2350</v>
      </c>
      <c r="I35" s="498">
        <f t="shared" si="2"/>
        <v>5.19</v>
      </c>
      <c r="J35" s="500">
        <f t="shared" si="3"/>
        <v>12196.500000000002</v>
      </c>
      <c r="K35" s="501"/>
      <c r="L35" s="501"/>
      <c r="M35" s="501"/>
    </row>
    <row r="36" spans="1:13">
      <c r="A36" s="499">
        <f t="shared" si="4"/>
        <v>2400</v>
      </c>
      <c r="B36" s="500">
        <v>2.42</v>
      </c>
      <c r="C36" s="500">
        <v>5808</v>
      </c>
      <c r="E36" s="501" t="s">
        <v>598</v>
      </c>
      <c r="F36" s="501"/>
      <c r="H36" s="497">
        <f t="shared" si="5"/>
        <v>2400</v>
      </c>
      <c r="I36" s="498">
        <f t="shared" si="2"/>
        <v>5.22</v>
      </c>
      <c r="J36" s="500">
        <f t="shared" si="3"/>
        <v>12528</v>
      </c>
    </row>
    <row r="37" spans="1:13">
      <c r="A37" s="499">
        <f t="shared" si="4"/>
        <v>2450</v>
      </c>
      <c r="B37" s="500">
        <v>2.44</v>
      </c>
      <c r="C37" s="500">
        <v>5966</v>
      </c>
      <c r="E37" s="501"/>
      <c r="F37" s="501"/>
      <c r="H37" s="497">
        <f t="shared" si="5"/>
        <v>2450</v>
      </c>
      <c r="I37" s="498">
        <f t="shared" si="2"/>
        <v>5.26</v>
      </c>
      <c r="J37" s="500">
        <f t="shared" si="3"/>
        <v>12887</v>
      </c>
    </row>
    <row r="38" spans="1:13">
      <c r="A38" s="499">
        <f t="shared" si="4"/>
        <v>2500</v>
      </c>
      <c r="B38" s="500">
        <v>2.4500000000000002</v>
      </c>
      <c r="C38" s="500">
        <v>6125</v>
      </c>
      <c r="E38" s="508"/>
      <c r="F38" s="509" t="s">
        <v>599</v>
      </c>
      <c r="H38" s="497">
        <f t="shared" si="5"/>
        <v>2500</v>
      </c>
      <c r="I38" s="498">
        <f t="shared" si="2"/>
        <v>5.28</v>
      </c>
      <c r="J38" s="500">
        <f t="shared" si="3"/>
        <v>13200</v>
      </c>
    </row>
    <row r="39" spans="1:13">
      <c r="A39" s="499">
        <f t="shared" si="4"/>
        <v>2550</v>
      </c>
      <c r="B39" s="500">
        <v>2.4700000000000002</v>
      </c>
      <c r="C39" s="500">
        <v>6296</v>
      </c>
      <c r="E39" s="510" t="s">
        <v>600</v>
      </c>
      <c r="F39" s="510">
        <v>803989</v>
      </c>
      <c r="H39" s="497">
        <f t="shared" si="5"/>
        <v>2550</v>
      </c>
      <c r="I39" s="498">
        <f t="shared" si="2"/>
        <v>5.32</v>
      </c>
      <c r="J39" s="500">
        <f t="shared" si="3"/>
        <v>13566</v>
      </c>
    </row>
    <row r="40" spans="1:13">
      <c r="A40" s="499">
        <f t="shared" si="4"/>
        <v>2600</v>
      </c>
      <c r="B40" s="500">
        <v>2.48</v>
      </c>
      <c r="C40" s="500">
        <v>6448</v>
      </c>
      <c r="E40" s="510" t="s">
        <v>601</v>
      </c>
      <c r="F40" s="510">
        <v>785000</v>
      </c>
      <c r="H40" s="497">
        <f t="shared" si="5"/>
        <v>2600</v>
      </c>
      <c r="I40" s="498">
        <f t="shared" si="2"/>
        <v>5.34</v>
      </c>
      <c r="J40" s="500">
        <f t="shared" si="3"/>
        <v>13884</v>
      </c>
    </row>
    <row r="41" spans="1:13">
      <c r="A41" s="499">
        <f t="shared" si="4"/>
        <v>2650</v>
      </c>
      <c r="B41" s="500">
        <v>2.5</v>
      </c>
      <c r="C41" s="500">
        <v>6612</v>
      </c>
      <c r="E41" s="510" t="s">
        <v>602</v>
      </c>
      <c r="F41" s="510">
        <v>775000</v>
      </c>
      <c r="H41" s="497">
        <f t="shared" si="5"/>
        <v>2650</v>
      </c>
      <c r="I41" s="498">
        <f t="shared" si="2"/>
        <v>5.39</v>
      </c>
      <c r="J41" s="500">
        <f t="shared" si="3"/>
        <v>14283.5</v>
      </c>
    </row>
    <row r="42" spans="1:13">
      <c r="A42" s="499">
        <f t="shared" si="4"/>
        <v>2700</v>
      </c>
      <c r="B42" s="500">
        <v>2.5099999999999998</v>
      </c>
      <c r="C42" s="500">
        <v>6776.9999999999991</v>
      </c>
      <c r="H42" s="497">
        <f t="shared" si="5"/>
        <v>2700</v>
      </c>
      <c r="I42" s="498">
        <f t="shared" si="2"/>
        <v>5.41</v>
      </c>
      <c r="J42" s="500">
        <f t="shared" si="3"/>
        <v>14607</v>
      </c>
    </row>
    <row r="43" spans="1:13">
      <c r="A43" s="499">
        <f t="shared" si="4"/>
        <v>2750</v>
      </c>
      <c r="B43" s="500">
        <v>2.5299999999999998</v>
      </c>
      <c r="C43" s="500">
        <v>6944</v>
      </c>
      <c r="H43" s="497">
        <f t="shared" si="5"/>
        <v>2750</v>
      </c>
      <c r="I43" s="498">
        <f t="shared" si="2"/>
        <v>5.45</v>
      </c>
      <c r="J43" s="500">
        <f t="shared" si="3"/>
        <v>14987.5</v>
      </c>
    </row>
    <row r="44" spans="1:13">
      <c r="A44" s="499">
        <f t="shared" si="4"/>
        <v>2800</v>
      </c>
      <c r="B44" s="500">
        <v>2.54</v>
      </c>
      <c r="C44" s="500">
        <v>7112</v>
      </c>
      <c r="H44" s="497">
        <f t="shared" si="5"/>
        <v>2800</v>
      </c>
      <c r="I44" s="498">
        <f t="shared" si="2"/>
        <v>5.47</v>
      </c>
      <c r="J44" s="500">
        <f t="shared" si="3"/>
        <v>15316</v>
      </c>
    </row>
    <row r="45" spans="1:13">
      <c r="A45" s="499">
        <f t="shared" si="4"/>
        <v>2850</v>
      </c>
      <c r="B45" s="500">
        <v>2.56</v>
      </c>
      <c r="C45" s="500">
        <v>7282</v>
      </c>
      <c r="H45" s="497">
        <f t="shared" si="5"/>
        <v>2850</v>
      </c>
      <c r="I45" s="498">
        <f t="shared" si="2"/>
        <v>5.52</v>
      </c>
      <c r="J45" s="500">
        <f t="shared" si="3"/>
        <v>15731.999999999998</v>
      </c>
    </row>
    <row r="46" spans="1:13">
      <c r="A46" s="499">
        <f t="shared" si="4"/>
        <v>2900</v>
      </c>
      <c r="B46" s="500">
        <v>2.57</v>
      </c>
      <c r="C46" s="500">
        <v>7452.9999999999991</v>
      </c>
      <c r="H46" s="497">
        <f t="shared" si="5"/>
        <v>2900</v>
      </c>
      <c r="I46" s="498">
        <f t="shared" si="2"/>
        <v>5.54</v>
      </c>
      <c r="J46" s="500">
        <f t="shared" si="3"/>
        <v>16066</v>
      </c>
    </row>
    <row r="47" spans="1:13">
      <c r="A47" s="499">
        <f t="shared" si="4"/>
        <v>2950</v>
      </c>
      <c r="B47" s="500">
        <v>2.59</v>
      </c>
      <c r="C47" s="500">
        <v>7626</v>
      </c>
      <c r="H47" s="497">
        <f t="shared" si="5"/>
        <v>2950</v>
      </c>
      <c r="I47" s="498">
        <f t="shared" si="2"/>
        <v>5.58</v>
      </c>
      <c r="J47" s="500">
        <f t="shared" si="3"/>
        <v>16461</v>
      </c>
    </row>
    <row r="48" spans="1:13">
      <c r="A48" s="499">
        <f t="shared" si="4"/>
        <v>3000</v>
      </c>
      <c r="B48" s="500">
        <v>2.6</v>
      </c>
      <c r="C48" s="500">
        <v>7800</v>
      </c>
      <c r="H48" s="497">
        <f t="shared" si="5"/>
        <v>3000</v>
      </c>
      <c r="I48" s="498">
        <f t="shared" si="2"/>
        <v>5.6</v>
      </c>
      <c r="J48" s="500">
        <f t="shared" si="3"/>
        <v>16800</v>
      </c>
    </row>
    <row r="49" spans="1:10">
      <c r="A49" s="499">
        <f t="shared" si="4"/>
        <v>3050</v>
      </c>
      <c r="B49" s="500">
        <v>2.62</v>
      </c>
      <c r="C49" s="500">
        <v>7976</v>
      </c>
      <c r="H49" s="497">
        <f t="shared" si="5"/>
        <v>3050</v>
      </c>
      <c r="I49" s="498">
        <f t="shared" si="2"/>
        <v>5.65</v>
      </c>
      <c r="J49" s="500">
        <f t="shared" si="3"/>
        <v>17232.5</v>
      </c>
    </row>
    <row r="50" spans="1:10">
      <c r="A50" s="499">
        <f t="shared" si="4"/>
        <v>3100</v>
      </c>
      <c r="B50" s="500">
        <v>2.63</v>
      </c>
      <c r="C50" s="500">
        <v>8153</v>
      </c>
      <c r="H50" s="497">
        <f t="shared" si="5"/>
        <v>3100</v>
      </c>
      <c r="I50" s="498">
        <f t="shared" si="2"/>
        <v>5.67</v>
      </c>
      <c r="J50" s="500">
        <f t="shared" si="3"/>
        <v>17577</v>
      </c>
    </row>
    <row r="51" spans="1:10">
      <c r="A51" s="499">
        <f t="shared" si="4"/>
        <v>3150</v>
      </c>
      <c r="B51" s="500">
        <v>2.65</v>
      </c>
      <c r="C51" s="500">
        <v>8332</v>
      </c>
      <c r="H51" s="497">
        <f t="shared" si="5"/>
        <v>3150</v>
      </c>
      <c r="I51" s="498">
        <f t="shared" si="2"/>
        <v>5.71</v>
      </c>
      <c r="J51" s="500">
        <f t="shared" si="3"/>
        <v>17986.5</v>
      </c>
    </row>
    <row r="52" spans="1:10">
      <c r="A52" s="499">
        <f t="shared" si="4"/>
        <v>3200</v>
      </c>
      <c r="B52" s="500">
        <v>2.66</v>
      </c>
      <c r="C52" s="500">
        <v>8512</v>
      </c>
      <c r="H52" s="497">
        <f t="shared" si="5"/>
        <v>3200</v>
      </c>
      <c r="I52" s="498">
        <f t="shared" si="2"/>
        <v>5.73</v>
      </c>
      <c r="J52" s="500">
        <f t="shared" si="3"/>
        <v>18336</v>
      </c>
    </row>
    <row r="53" spans="1:10">
      <c r="A53" s="499">
        <f t="shared" si="4"/>
        <v>3250</v>
      </c>
      <c r="B53" s="500">
        <v>2.68</v>
      </c>
      <c r="C53" s="500">
        <v>8694</v>
      </c>
      <c r="H53" s="497">
        <f t="shared" si="5"/>
        <v>3250</v>
      </c>
      <c r="I53" s="498">
        <f t="shared" si="2"/>
        <v>5.78</v>
      </c>
      <c r="J53" s="500">
        <f t="shared" si="3"/>
        <v>18785</v>
      </c>
    </row>
    <row r="54" spans="1:10">
      <c r="A54" s="499">
        <f t="shared" si="4"/>
        <v>3300</v>
      </c>
      <c r="B54" s="500">
        <v>2.69</v>
      </c>
      <c r="C54" s="500">
        <v>8877</v>
      </c>
      <c r="H54" s="497">
        <f t="shared" si="5"/>
        <v>3300</v>
      </c>
      <c r="I54" s="498">
        <f t="shared" si="2"/>
        <v>5.8</v>
      </c>
      <c r="J54" s="500">
        <f t="shared" si="3"/>
        <v>19140</v>
      </c>
    </row>
    <row r="55" spans="1:10">
      <c r="A55" s="499">
        <f t="shared" si="4"/>
        <v>3350</v>
      </c>
      <c r="B55" s="500">
        <v>2.71</v>
      </c>
      <c r="C55" s="500">
        <v>9062</v>
      </c>
      <c r="H55" s="497">
        <f t="shared" si="5"/>
        <v>3350</v>
      </c>
      <c r="I55" s="498">
        <f t="shared" si="2"/>
        <v>5.84</v>
      </c>
      <c r="J55" s="500">
        <f t="shared" si="3"/>
        <v>19564</v>
      </c>
    </row>
    <row r="56" spans="1:10">
      <c r="A56" s="499">
        <f t="shared" si="4"/>
        <v>3400</v>
      </c>
      <c r="B56" s="500">
        <v>2.72</v>
      </c>
      <c r="C56" s="500">
        <v>9248</v>
      </c>
      <c r="H56" s="497">
        <f t="shared" si="5"/>
        <v>3400</v>
      </c>
      <c r="I56" s="498">
        <f t="shared" si="2"/>
        <v>5.86</v>
      </c>
      <c r="J56" s="500">
        <f t="shared" si="3"/>
        <v>19924</v>
      </c>
    </row>
    <row r="57" spans="1:10">
      <c r="A57" s="499">
        <f t="shared" si="4"/>
        <v>3450</v>
      </c>
      <c r="B57" s="500">
        <v>2.74</v>
      </c>
      <c r="C57" s="500">
        <v>9436</v>
      </c>
      <c r="H57" s="497">
        <f t="shared" si="5"/>
        <v>3450</v>
      </c>
      <c r="I57" s="498">
        <f t="shared" si="2"/>
        <v>5.9</v>
      </c>
      <c r="J57" s="500">
        <f t="shared" si="3"/>
        <v>20355</v>
      </c>
    </row>
    <row r="58" spans="1:10">
      <c r="A58" s="499">
        <f t="shared" si="4"/>
        <v>3500</v>
      </c>
      <c r="B58" s="500">
        <v>2.75</v>
      </c>
      <c r="C58" s="500">
        <v>9625</v>
      </c>
      <c r="H58" s="497">
        <f t="shared" si="5"/>
        <v>3500</v>
      </c>
      <c r="I58" s="498">
        <f t="shared" si="2"/>
        <v>5.93</v>
      </c>
      <c r="J58" s="500">
        <f t="shared" si="3"/>
        <v>20755</v>
      </c>
    </row>
    <row r="59" spans="1:10">
      <c r="A59" s="499">
        <f t="shared" si="4"/>
        <v>3550</v>
      </c>
      <c r="B59" s="500">
        <v>2.77</v>
      </c>
      <c r="C59" s="500">
        <v>9816</v>
      </c>
      <c r="H59" s="497">
        <f t="shared" si="5"/>
        <v>3550</v>
      </c>
      <c r="I59" s="498">
        <f t="shared" si="2"/>
        <v>5.97</v>
      </c>
      <c r="J59" s="500">
        <f t="shared" si="3"/>
        <v>21193.5</v>
      </c>
    </row>
    <row r="60" spans="1:10">
      <c r="A60" s="499">
        <f t="shared" si="4"/>
        <v>3600</v>
      </c>
      <c r="B60" s="500">
        <v>2.78</v>
      </c>
      <c r="C60" s="500">
        <v>10008</v>
      </c>
      <c r="H60" s="497">
        <f t="shared" si="5"/>
        <v>3600</v>
      </c>
      <c r="I60" s="498">
        <f t="shared" si="2"/>
        <v>5.99</v>
      </c>
      <c r="J60" s="500">
        <f t="shared" si="3"/>
        <v>21564</v>
      </c>
    </row>
    <row r="61" spans="1:10">
      <c r="A61" s="499">
        <f t="shared" si="4"/>
        <v>3650</v>
      </c>
      <c r="B61" s="500">
        <v>2.8</v>
      </c>
      <c r="C61" s="500">
        <v>10202</v>
      </c>
      <c r="H61" s="497">
        <f t="shared" si="5"/>
        <v>3650</v>
      </c>
      <c r="I61" s="498">
        <f t="shared" si="2"/>
        <v>6.03</v>
      </c>
      <c r="J61" s="500">
        <f t="shared" si="3"/>
        <v>22009.5</v>
      </c>
    </row>
    <row r="62" spans="1:10">
      <c r="A62" s="499">
        <f t="shared" si="4"/>
        <v>3700</v>
      </c>
      <c r="B62" s="500">
        <v>2.81</v>
      </c>
      <c r="C62" s="500">
        <v>10397</v>
      </c>
      <c r="H62" s="497">
        <f t="shared" si="5"/>
        <v>3700</v>
      </c>
      <c r="I62" s="498">
        <f t="shared" si="2"/>
        <v>6.06</v>
      </c>
      <c r="J62" s="500">
        <f t="shared" si="3"/>
        <v>22422</v>
      </c>
    </row>
    <row r="63" spans="1:10">
      <c r="A63" s="499">
        <f t="shared" si="4"/>
        <v>3750</v>
      </c>
      <c r="B63" s="500">
        <v>2.83</v>
      </c>
      <c r="C63" s="500">
        <v>10594</v>
      </c>
      <c r="H63" s="497">
        <f t="shared" si="5"/>
        <v>3750</v>
      </c>
      <c r="I63" s="498">
        <f t="shared" si="2"/>
        <v>6.1</v>
      </c>
      <c r="J63" s="500">
        <f t="shared" si="3"/>
        <v>22875</v>
      </c>
    </row>
    <row r="64" spans="1:10">
      <c r="A64" s="499">
        <f t="shared" si="4"/>
        <v>3800</v>
      </c>
      <c r="B64" s="500">
        <v>2.84</v>
      </c>
      <c r="C64" s="500">
        <v>10792</v>
      </c>
      <c r="H64" s="497">
        <f t="shared" si="5"/>
        <v>3800</v>
      </c>
      <c r="I64" s="498">
        <f t="shared" si="2"/>
        <v>6.12</v>
      </c>
      <c r="J64" s="500">
        <f t="shared" si="3"/>
        <v>23256</v>
      </c>
    </row>
    <row r="65" spans="1:10">
      <c r="A65" s="499">
        <f t="shared" si="4"/>
        <v>3850</v>
      </c>
      <c r="B65" s="500">
        <v>2.86</v>
      </c>
      <c r="C65" s="500">
        <v>10992</v>
      </c>
      <c r="H65" s="497">
        <f t="shared" si="5"/>
        <v>3850</v>
      </c>
      <c r="I65" s="498">
        <f t="shared" si="2"/>
        <v>6.16</v>
      </c>
      <c r="J65" s="500">
        <f t="shared" si="3"/>
        <v>23716</v>
      </c>
    </row>
    <row r="66" spans="1:10">
      <c r="A66" s="499">
        <f t="shared" si="4"/>
        <v>3900</v>
      </c>
      <c r="B66" s="500">
        <v>2.87</v>
      </c>
      <c r="C66" s="500">
        <v>11193</v>
      </c>
      <c r="H66" s="497">
        <f t="shared" si="5"/>
        <v>3900</v>
      </c>
      <c r="I66" s="498">
        <f t="shared" si="2"/>
        <v>6.18</v>
      </c>
      <c r="J66" s="500">
        <f t="shared" si="3"/>
        <v>24102</v>
      </c>
    </row>
    <row r="67" spans="1:10">
      <c r="A67" s="499">
        <f t="shared" si="4"/>
        <v>3950</v>
      </c>
      <c r="B67" s="500">
        <v>2.89</v>
      </c>
      <c r="C67" s="500">
        <v>11396</v>
      </c>
      <c r="H67" s="497">
        <f t="shared" si="5"/>
        <v>3950</v>
      </c>
      <c r="I67" s="498">
        <f t="shared" si="2"/>
        <v>6.23</v>
      </c>
      <c r="J67" s="500">
        <f t="shared" si="3"/>
        <v>24608.5</v>
      </c>
    </row>
    <row r="68" spans="1:10">
      <c r="A68" s="499">
        <f t="shared" si="4"/>
        <v>4000</v>
      </c>
      <c r="B68" s="500">
        <v>2.9</v>
      </c>
      <c r="C68" s="500">
        <v>11600</v>
      </c>
      <c r="H68" s="497">
        <f t="shared" si="5"/>
        <v>4000</v>
      </c>
      <c r="I68" s="498">
        <f t="shared" si="2"/>
        <v>6.25</v>
      </c>
      <c r="J68" s="500">
        <f t="shared" si="3"/>
        <v>25000</v>
      </c>
    </row>
    <row r="69" spans="1:10">
      <c r="A69" s="499"/>
      <c r="H69" s="499"/>
    </row>
    <row r="70" spans="1:10">
      <c r="A70" s="499"/>
      <c r="H70" s="499"/>
    </row>
    <row r="71" spans="1:10">
      <c r="A71" s="499"/>
      <c r="H71" s="499"/>
    </row>
    <row r="72" spans="1:10">
      <c r="A72" s="499"/>
      <c r="H72" s="499"/>
    </row>
    <row r="73" spans="1:10">
      <c r="A73" s="499"/>
      <c r="H73" s="499"/>
    </row>
    <row r="74" spans="1:10">
      <c r="A74" s="499"/>
      <c r="H74" s="499"/>
    </row>
    <row r="75" spans="1:10">
      <c r="A75" s="499"/>
      <c r="H75" s="499"/>
    </row>
  </sheetData>
  <pageMargins left="0.7" right="0.7" top="0.75" bottom="0.75" header="0.3" footer="0.3"/>
  <pageSetup scale="99" orientation="portrait" r:id="rId1"/>
  <headerFooter>
    <oddFooter>Page &amp;P of &amp;N</oddFooter>
  </headerFooter>
  <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072514-7D48-443C-BA65-CECB40B3AAC3}">
  <dimension ref="A1:W107"/>
  <sheetViews>
    <sheetView zoomScaleNormal="100" workbookViewId="0">
      <selection activeCell="G70" sqref="G70"/>
    </sheetView>
  </sheetViews>
  <sheetFormatPr defaultColWidth="13.5" defaultRowHeight="14.1" customHeight="1"/>
  <cols>
    <col min="1" max="1" width="2" style="517" customWidth="1"/>
    <col min="2" max="3" width="3.33203125" style="517" customWidth="1"/>
    <col min="4" max="4" width="50.33203125" style="517" customWidth="1"/>
    <col min="5" max="5" width="1" style="517" customWidth="1"/>
    <col min="6" max="6" width="12" style="530" customWidth="1"/>
    <col min="7" max="7" width="36.5" style="531" customWidth="1"/>
    <col min="8" max="8" width="13.5" style="517"/>
    <col min="9" max="9" width="9.1640625" style="519" bestFit="1" customWidth="1"/>
    <col min="10" max="10" width="9.1640625" style="517" bestFit="1" customWidth="1"/>
    <col min="11" max="13" width="9.33203125" style="517" bestFit="1" customWidth="1"/>
    <col min="14" max="15" width="10.5" style="517" bestFit="1" customWidth="1"/>
    <col min="16" max="16384" width="13.5" style="517"/>
  </cols>
  <sheetData>
    <row r="1" spans="1:23" ht="12" customHeight="1">
      <c r="A1" s="516" t="s">
        <v>9</v>
      </c>
      <c r="E1" s="518"/>
      <c r="F1" s="927" t="s">
        <v>604</v>
      </c>
      <c r="G1" s="927"/>
    </row>
    <row r="2" spans="1:23" ht="12" customHeight="1">
      <c r="A2" s="516" t="str">
        <f>[2]Contents!$A$2</f>
        <v xml:space="preserve">Master Fee Schedule, 2022-2023 </v>
      </c>
      <c r="E2" s="518"/>
      <c r="F2" s="927"/>
      <c r="G2" s="927"/>
    </row>
    <row r="3" spans="1:23" ht="14.1" customHeight="1">
      <c r="F3" s="520"/>
      <c r="G3" s="517"/>
      <c r="H3" s="517" t="s">
        <v>605</v>
      </c>
    </row>
    <row r="4" spans="1:23" ht="14.1" customHeight="1">
      <c r="A4" s="521"/>
      <c r="B4" s="521"/>
      <c r="C4" s="521"/>
      <c r="D4" s="521"/>
      <c r="E4" s="521"/>
      <c r="F4" s="522"/>
      <c r="G4" s="521"/>
    </row>
    <row r="5" spans="1:23" ht="14.1" customHeight="1">
      <c r="A5" s="523" t="s">
        <v>606</v>
      </c>
      <c r="B5" s="523"/>
      <c r="C5" s="523"/>
      <c r="D5" s="523"/>
      <c r="F5" s="524" t="s">
        <v>607</v>
      </c>
      <c r="G5" s="525"/>
      <c r="I5" s="526" t="s">
        <v>608</v>
      </c>
      <c r="J5" s="527" t="s">
        <v>609</v>
      </c>
      <c r="K5" s="527" t="s">
        <v>610</v>
      </c>
      <c r="L5" s="527" t="s">
        <v>611</v>
      </c>
      <c r="M5" s="528">
        <v>41456</v>
      </c>
      <c r="N5" s="529">
        <v>41821</v>
      </c>
      <c r="O5" s="529">
        <f>'[2]I. Administration'!O5</f>
        <v>42186</v>
      </c>
      <c r="P5" s="529">
        <v>42552</v>
      </c>
      <c r="Q5" s="529">
        <v>42917</v>
      </c>
      <c r="R5" s="529">
        <v>43282</v>
      </c>
      <c r="S5" s="529">
        <v>43647</v>
      </c>
      <c r="T5" s="529">
        <v>44013</v>
      </c>
      <c r="U5" s="529">
        <v>44384</v>
      </c>
      <c r="V5" s="529">
        <v>44763</v>
      </c>
    </row>
    <row r="6" spans="1:23" ht="14.1" customHeight="1">
      <c r="H6" s="532"/>
      <c r="I6" s="533">
        <v>8.0000000000000002E-3</v>
      </c>
      <c r="J6" s="533">
        <v>1.7000000000000001E-2</v>
      </c>
      <c r="K6" s="533">
        <v>2.8000000000000001E-2</v>
      </c>
      <c r="L6" s="533">
        <v>2.1000000000000001E-2</v>
      </c>
      <c r="M6" s="533">
        <v>2.3800000000000002E-2</v>
      </c>
      <c r="N6" s="534">
        <v>2.8000000000000001E-2</v>
      </c>
      <c r="O6" s="534">
        <f>'[2]I. Administration'!$O$6</f>
        <v>2.4E-2</v>
      </c>
      <c r="P6" s="533">
        <v>2.7E-2</v>
      </c>
      <c r="Q6" s="533">
        <v>3.7999999999999999E-2</v>
      </c>
      <c r="R6" s="533">
        <f>'[2]I. Administration'!R6</f>
        <v>3.2000000000000001E-2</v>
      </c>
      <c r="S6" s="533">
        <f>'[2]I. Administration'!S6</f>
        <v>0.04</v>
      </c>
      <c r="T6" s="533">
        <f>'[2]I. Administration'!T6</f>
        <v>1.0999999999999999E-2</v>
      </c>
      <c r="U6" s="533">
        <v>3.7999999999999999E-2</v>
      </c>
      <c r="V6" s="535">
        <v>0.05</v>
      </c>
    </row>
    <row r="7" spans="1:23" ht="14.1" customHeight="1">
      <c r="A7" s="531" t="s">
        <v>612</v>
      </c>
      <c r="B7" s="531"/>
      <c r="C7" s="531"/>
      <c r="D7" s="531"/>
      <c r="E7" s="536"/>
      <c r="F7" s="537"/>
      <c r="G7" s="538"/>
    </row>
    <row r="8" spans="1:23" ht="14.1" customHeight="1">
      <c r="A8" s="531"/>
      <c r="B8" s="531" t="s">
        <v>613</v>
      </c>
      <c r="C8" s="531"/>
      <c r="D8" s="531"/>
      <c r="E8" s="536"/>
      <c r="F8" s="539" t="s">
        <v>614</v>
      </c>
      <c r="G8" s="538"/>
      <c r="H8" s="540" t="s">
        <v>614</v>
      </c>
    </row>
    <row r="9" spans="1:23" ht="14.1" customHeight="1">
      <c r="A9" s="531"/>
      <c r="B9" s="531" t="s">
        <v>615</v>
      </c>
      <c r="C9" s="531"/>
      <c r="D9" s="531"/>
      <c r="E9" s="536"/>
      <c r="F9" s="539" t="s">
        <v>616</v>
      </c>
      <c r="G9" s="538"/>
      <c r="H9" s="540" t="s">
        <v>616</v>
      </c>
      <c r="W9" s="517" t="s">
        <v>617</v>
      </c>
    </row>
    <row r="10" spans="1:23" ht="14.1" customHeight="1">
      <c r="A10" s="531"/>
      <c r="B10" s="531" t="s">
        <v>618</v>
      </c>
      <c r="C10" s="531"/>
      <c r="D10" s="531"/>
      <c r="E10" s="541"/>
      <c r="F10" s="539">
        <f>ROUND(V10,0)</f>
        <v>300</v>
      </c>
      <c r="G10" s="531" t="s">
        <v>619</v>
      </c>
      <c r="H10" s="542">
        <v>286.02999999999997</v>
      </c>
      <c r="I10" s="519">
        <f>206*1.008</f>
        <v>207.648</v>
      </c>
      <c r="J10" s="519">
        <f>I10*1.017</f>
        <v>211.17801599999999</v>
      </c>
      <c r="K10" s="517">
        <f>ROUND(((1+$K$6)*J10),2)</f>
        <v>217.09</v>
      </c>
      <c r="L10" s="517">
        <f>ROUND(((1+$L$6)*K10),2)</f>
        <v>221.65</v>
      </c>
      <c r="M10" s="517">
        <f>ROUND(((1+$L$6)*L10),2)</f>
        <v>226.3</v>
      </c>
      <c r="N10" s="517">
        <f>ROUND(((1+N$6)*M10),2)</f>
        <v>232.64</v>
      </c>
      <c r="O10" s="517">
        <f>ROUND(((1+O$6)*N10),2)</f>
        <v>238.22</v>
      </c>
      <c r="P10" s="517">
        <f t="shared" ref="P10:V48" si="0">ROUND(((1+P$6)*O10),2)</f>
        <v>244.65</v>
      </c>
      <c r="Q10" s="517">
        <f t="shared" si="0"/>
        <v>253.95</v>
      </c>
      <c r="R10" s="517">
        <f t="shared" si="0"/>
        <v>262.08</v>
      </c>
      <c r="S10" s="517">
        <f t="shared" si="0"/>
        <v>272.56</v>
      </c>
      <c r="T10" s="517">
        <f t="shared" si="0"/>
        <v>275.56</v>
      </c>
      <c r="U10" s="517">
        <f t="shared" si="0"/>
        <v>286.02999999999997</v>
      </c>
      <c r="V10" s="517">
        <f t="shared" si="0"/>
        <v>300.33</v>
      </c>
    </row>
    <row r="11" spans="1:23" ht="14.1" customHeight="1">
      <c r="A11" s="531"/>
      <c r="B11" s="531" t="s">
        <v>620</v>
      </c>
      <c r="C11" s="531"/>
      <c r="D11" s="531"/>
      <c r="E11" s="541"/>
      <c r="F11" s="539">
        <f>ROUND(V11,0)</f>
        <v>150</v>
      </c>
      <c r="G11" s="531" t="s">
        <v>621</v>
      </c>
      <c r="H11" s="542">
        <v>143.03</v>
      </c>
      <c r="I11" s="519">
        <f>103*1.008</f>
        <v>103.824</v>
      </c>
      <c r="J11" s="519">
        <f>I11*1.017</f>
        <v>105.58900799999999</v>
      </c>
      <c r="K11" s="517">
        <f>ROUND(((1+$K$6)*J11),2)</f>
        <v>108.55</v>
      </c>
      <c r="L11" s="517">
        <f>ROUND(((1+$L$6)*K11),2)</f>
        <v>110.83</v>
      </c>
      <c r="M11" s="517">
        <f>ROUND(((1+$L$6)*L11),2)</f>
        <v>113.16</v>
      </c>
      <c r="N11" s="517">
        <f>ROUND(((1+N$6)*M11),2)</f>
        <v>116.33</v>
      </c>
      <c r="O11" s="517">
        <f>ROUND(((1+O$6)*N11),2)</f>
        <v>119.12</v>
      </c>
      <c r="P11" s="517">
        <f t="shared" si="0"/>
        <v>122.34</v>
      </c>
      <c r="Q11" s="517">
        <f t="shared" si="0"/>
        <v>126.99</v>
      </c>
      <c r="R11" s="517">
        <f t="shared" si="0"/>
        <v>131.05000000000001</v>
      </c>
      <c r="S11" s="517">
        <f t="shared" si="0"/>
        <v>136.29</v>
      </c>
      <c r="T11" s="517">
        <f t="shared" si="0"/>
        <v>137.79</v>
      </c>
      <c r="U11" s="517">
        <f t="shared" si="0"/>
        <v>143.03</v>
      </c>
      <c r="V11" s="517">
        <f t="shared" si="0"/>
        <v>150.18</v>
      </c>
    </row>
    <row r="12" spans="1:23" ht="14.1" customHeight="1">
      <c r="A12" s="531"/>
      <c r="B12" s="531" t="s">
        <v>622</v>
      </c>
      <c r="C12" s="531"/>
      <c r="D12" s="531"/>
      <c r="E12" s="536"/>
      <c r="F12" s="539" t="s">
        <v>623</v>
      </c>
      <c r="G12" s="543"/>
      <c r="J12" s="519"/>
    </row>
    <row r="13" spans="1:23" ht="14.1" customHeight="1">
      <c r="A13" s="531"/>
      <c r="B13" s="531" t="s">
        <v>624</v>
      </c>
      <c r="C13" s="531"/>
      <c r="D13" s="531"/>
      <c r="E13" s="536"/>
      <c r="F13" s="539"/>
      <c r="G13" s="543"/>
      <c r="J13" s="519"/>
    </row>
    <row r="14" spans="1:23" ht="14.1" customHeight="1">
      <c r="F14" s="539"/>
      <c r="J14" s="519"/>
    </row>
    <row r="15" spans="1:23" ht="14.1" customHeight="1">
      <c r="A15" s="517" t="s">
        <v>625</v>
      </c>
      <c r="F15" s="539"/>
      <c r="J15" s="519"/>
    </row>
    <row r="16" spans="1:23" ht="14.1" customHeight="1">
      <c r="B16" s="517" t="s">
        <v>626</v>
      </c>
      <c r="E16" s="544"/>
      <c r="F16" s="539">
        <f>ROUND(V16,0)</f>
        <v>4712</v>
      </c>
      <c r="G16" s="531" t="s">
        <v>627</v>
      </c>
      <c r="H16" s="542">
        <v>4487.66</v>
      </c>
      <c r="I16" s="519">
        <f>3232*1.008</f>
        <v>3257.8560000000002</v>
      </c>
      <c r="J16" s="519">
        <f>I16*1.017</f>
        <v>3313.239552</v>
      </c>
      <c r="K16" s="517">
        <f>ROUND(((1+$K$6)*J16),2)</f>
        <v>3406.01</v>
      </c>
      <c r="L16" s="517">
        <f>ROUND(((1+$L$6)*K16),2)</f>
        <v>3477.54</v>
      </c>
      <c r="M16" s="517">
        <f>ROUND(((1+$L$6)*L16),2)</f>
        <v>3550.57</v>
      </c>
      <c r="N16" s="517">
        <f>ROUND(((1+N$6)*M16),2)</f>
        <v>3649.99</v>
      </c>
      <c r="O16" s="517">
        <f>ROUND(((1+O$6)*N16),2)</f>
        <v>3737.59</v>
      </c>
      <c r="P16" s="517">
        <f t="shared" si="0"/>
        <v>3838.5</v>
      </c>
      <c r="Q16" s="517">
        <f t="shared" si="0"/>
        <v>3984.36</v>
      </c>
      <c r="R16" s="517">
        <f t="shared" si="0"/>
        <v>4111.8599999999997</v>
      </c>
      <c r="S16" s="517">
        <f t="shared" si="0"/>
        <v>4276.33</v>
      </c>
      <c r="T16" s="517">
        <f t="shared" si="0"/>
        <v>4323.37</v>
      </c>
      <c r="U16" s="517">
        <f t="shared" si="0"/>
        <v>4487.66</v>
      </c>
      <c r="V16" s="517">
        <f t="shared" si="0"/>
        <v>4712.04</v>
      </c>
    </row>
    <row r="17" spans="1:22" ht="14.1" customHeight="1">
      <c r="B17" s="517" t="s">
        <v>628</v>
      </c>
      <c r="E17" s="544"/>
      <c r="F17" s="539">
        <f>ROUND(V17,0)</f>
        <v>163</v>
      </c>
      <c r="G17" s="531" t="s">
        <v>629</v>
      </c>
      <c r="H17" s="542">
        <v>155.53</v>
      </c>
      <c r="I17" s="519">
        <f>112*1.008</f>
        <v>112.896</v>
      </c>
      <c r="J17" s="519">
        <f>I17*1.017</f>
        <v>114.81523199999999</v>
      </c>
      <c r="K17" s="517">
        <f>ROUND(((1+$K$6)*J17),2)</f>
        <v>118.03</v>
      </c>
      <c r="L17" s="517">
        <f>ROUND(((1+$L$6)*K17),2)</f>
        <v>120.51</v>
      </c>
      <c r="M17" s="517">
        <f>ROUND(((1+$L$6)*L17),2)</f>
        <v>123.04</v>
      </c>
      <c r="N17" s="517">
        <f>ROUND(((1+N$6)*M17),2)</f>
        <v>126.49</v>
      </c>
      <c r="O17" s="517">
        <f>ROUND(((1+O$6)*N17),2)</f>
        <v>129.53</v>
      </c>
      <c r="P17" s="517">
        <f t="shared" si="0"/>
        <v>133.03</v>
      </c>
      <c r="Q17" s="517">
        <f t="shared" si="0"/>
        <v>138.09</v>
      </c>
      <c r="R17" s="517">
        <f t="shared" si="0"/>
        <v>142.51</v>
      </c>
      <c r="S17" s="517">
        <f t="shared" si="0"/>
        <v>148.21</v>
      </c>
      <c r="T17" s="517">
        <f t="shared" si="0"/>
        <v>149.84</v>
      </c>
      <c r="U17" s="517">
        <f t="shared" si="0"/>
        <v>155.53</v>
      </c>
      <c r="V17" s="517">
        <f t="shared" si="0"/>
        <v>163.31</v>
      </c>
    </row>
    <row r="18" spans="1:22" ht="14.1" customHeight="1">
      <c r="F18" s="539"/>
      <c r="J18" s="519"/>
    </row>
    <row r="19" spans="1:22" ht="14.1" customHeight="1">
      <c r="A19" s="517" t="s">
        <v>630</v>
      </c>
      <c r="F19" s="539"/>
      <c r="J19" s="519"/>
    </row>
    <row r="20" spans="1:22" ht="14.1" customHeight="1">
      <c r="B20" s="517" t="s">
        <v>631</v>
      </c>
      <c r="E20" s="544"/>
      <c r="F20" s="539">
        <f>ROUND(V20,0)</f>
        <v>292</v>
      </c>
      <c r="G20" s="531" t="s">
        <v>627</v>
      </c>
      <c r="H20" s="542">
        <v>277.70999999999998</v>
      </c>
      <c r="I20" s="519">
        <f>200*1.008</f>
        <v>201.6</v>
      </c>
      <c r="J20" s="519">
        <f>I20*1.017</f>
        <v>205.02719999999997</v>
      </c>
      <c r="K20" s="517">
        <f>ROUND(((1+$K$6)*J20),2)</f>
        <v>210.77</v>
      </c>
      <c r="L20" s="517">
        <f t="shared" ref="L20:M23" si="1">ROUND(((1+$L$6)*K20),2)</f>
        <v>215.2</v>
      </c>
      <c r="M20" s="517">
        <f t="shared" si="1"/>
        <v>219.72</v>
      </c>
      <c r="N20" s="517">
        <f>ROUND(((1+N$6)*M20),2)</f>
        <v>225.87</v>
      </c>
      <c r="O20" s="517">
        <f>ROUND(((1+O$6)*N20),2)</f>
        <v>231.29</v>
      </c>
      <c r="P20" s="517">
        <f t="shared" si="0"/>
        <v>237.53</v>
      </c>
      <c r="Q20" s="517">
        <f t="shared" si="0"/>
        <v>246.56</v>
      </c>
      <c r="R20" s="517">
        <f t="shared" si="0"/>
        <v>254.45</v>
      </c>
      <c r="S20" s="517">
        <f t="shared" si="0"/>
        <v>264.63</v>
      </c>
      <c r="T20" s="517">
        <f t="shared" si="0"/>
        <v>267.54000000000002</v>
      </c>
      <c r="U20" s="517">
        <f t="shared" si="0"/>
        <v>277.70999999999998</v>
      </c>
      <c r="V20" s="517">
        <f t="shared" si="0"/>
        <v>291.60000000000002</v>
      </c>
    </row>
    <row r="21" spans="1:22" ht="14.1" hidden="1" customHeight="1">
      <c r="B21" s="517" t="s">
        <v>632</v>
      </c>
      <c r="F21" s="539">
        <f t="shared" ref="F21" si="2">ROUND(U21,0)</f>
        <v>0</v>
      </c>
      <c r="H21" s="542">
        <v>0</v>
      </c>
      <c r="J21" s="519"/>
      <c r="P21" s="517">
        <f t="shared" si="0"/>
        <v>0</v>
      </c>
      <c r="Q21" s="517">
        <f t="shared" si="0"/>
        <v>0</v>
      </c>
      <c r="R21" s="517">
        <f t="shared" si="0"/>
        <v>0</v>
      </c>
      <c r="S21" s="517">
        <f t="shared" si="0"/>
        <v>0</v>
      </c>
      <c r="T21" s="517">
        <f t="shared" si="0"/>
        <v>0</v>
      </c>
      <c r="U21" s="517">
        <f t="shared" si="0"/>
        <v>0</v>
      </c>
    </row>
    <row r="22" spans="1:22" ht="14.1" customHeight="1">
      <c r="B22" s="517" t="s">
        <v>633</v>
      </c>
      <c r="E22" s="544"/>
      <c r="F22" s="539">
        <f>ROUND(V22,0)</f>
        <v>72</v>
      </c>
      <c r="G22" s="531" t="s">
        <v>627</v>
      </c>
      <c r="H22" s="542">
        <v>68.87</v>
      </c>
      <c r="I22" s="519">
        <v>50</v>
      </c>
      <c r="J22" s="519">
        <f>I22*1.017</f>
        <v>50.849999999999994</v>
      </c>
      <c r="K22" s="517">
        <f>ROUND(((1+$K$6)*J22),2)</f>
        <v>52.27</v>
      </c>
      <c r="L22" s="517">
        <f t="shared" si="1"/>
        <v>53.37</v>
      </c>
      <c r="M22" s="517">
        <f t="shared" si="1"/>
        <v>54.49</v>
      </c>
      <c r="N22" s="517">
        <f>ROUND(((1+N$6)*M22),2)</f>
        <v>56.02</v>
      </c>
      <c r="O22" s="517">
        <f>ROUND(((1+O$6)*N22),2)</f>
        <v>57.36</v>
      </c>
      <c r="P22" s="517">
        <f t="shared" si="0"/>
        <v>58.91</v>
      </c>
      <c r="Q22" s="517">
        <f t="shared" si="0"/>
        <v>61.15</v>
      </c>
      <c r="R22" s="517">
        <f t="shared" si="0"/>
        <v>63.11</v>
      </c>
      <c r="S22" s="517">
        <f t="shared" si="0"/>
        <v>65.63</v>
      </c>
      <c r="T22" s="517">
        <f t="shared" si="0"/>
        <v>66.349999999999994</v>
      </c>
      <c r="U22" s="517">
        <f t="shared" si="0"/>
        <v>68.87</v>
      </c>
      <c r="V22" s="517">
        <f t="shared" si="0"/>
        <v>72.31</v>
      </c>
    </row>
    <row r="23" spans="1:22" ht="14.1" customHeight="1">
      <c r="B23" s="517" t="s">
        <v>634</v>
      </c>
      <c r="E23" s="544"/>
      <c r="F23" s="539">
        <f>ROUND(V23,0)</f>
        <v>150</v>
      </c>
      <c r="G23" s="531" t="s">
        <v>635</v>
      </c>
      <c r="H23" s="542">
        <v>143.03</v>
      </c>
      <c r="I23" s="519">
        <f>103*1.008</f>
        <v>103.824</v>
      </c>
      <c r="J23" s="519">
        <f>I23*1.017</f>
        <v>105.58900799999999</v>
      </c>
      <c r="K23" s="517">
        <f>ROUND(((1+$K$6)*J23),2)</f>
        <v>108.55</v>
      </c>
      <c r="L23" s="517">
        <f t="shared" si="1"/>
        <v>110.83</v>
      </c>
      <c r="M23" s="517">
        <f t="shared" si="1"/>
        <v>113.16</v>
      </c>
      <c r="N23" s="517">
        <f>ROUND(((1+N$6)*M23),2)</f>
        <v>116.33</v>
      </c>
      <c r="O23" s="517">
        <f>ROUND(((1+O$6)*N23),2)</f>
        <v>119.12</v>
      </c>
      <c r="P23" s="517">
        <f t="shared" si="0"/>
        <v>122.34</v>
      </c>
      <c r="Q23" s="517">
        <f t="shared" si="0"/>
        <v>126.99</v>
      </c>
      <c r="R23" s="517">
        <f t="shared" si="0"/>
        <v>131.05000000000001</v>
      </c>
      <c r="S23" s="517">
        <f t="shared" si="0"/>
        <v>136.29</v>
      </c>
      <c r="T23" s="517">
        <f t="shared" si="0"/>
        <v>137.79</v>
      </c>
      <c r="U23" s="517">
        <f t="shared" si="0"/>
        <v>143.03</v>
      </c>
      <c r="V23" s="517">
        <f t="shared" si="0"/>
        <v>150.18</v>
      </c>
    </row>
    <row r="24" spans="1:22" ht="14.1" customHeight="1">
      <c r="F24" s="539"/>
      <c r="J24" s="519"/>
    </row>
    <row r="25" spans="1:22" ht="14.1" customHeight="1">
      <c r="A25" s="517" t="s">
        <v>636</v>
      </c>
      <c r="F25" s="539"/>
      <c r="J25" s="519"/>
    </row>
    <row r="26" spans="1:22" ht="14.1" customHeight="1">
      <c r="B26" s="517" t="s">
        <v>637</v>
      </c>
      <c r="E26" s="544"/>
      <c r="F26" s="539">
        <f>ROUND(V26,0)</f>
        <v>150</v>
      </c>
      <c r="G26" s="531" t="s">
        <v>635</v>
      </c>
      <c r="H26" s="542">
        <v>143.03</v>
      </c>
      <c r="I26" s="519">
        <f>103*1.008</f>
        <v>103.824</v>
      </c>
      <c r="J26" s="519">
        <f>I26*1.017</f>
        <v>105.58900799999999</v>
      </c>
      <c r="K26" s="517">
        <f>ROUND(((1+$K$6)*J26),2)</f>
        <v>108.55</v>
      </c>
      <c r="L26" s="517">
        <f>ROUND(((1+$L$6)*K26),2)</f>
        <v>110.83</v>
      </c>
      <c r="M26" s="517">
        <f>ROUND(((1+$L$6)*L26),2)</f>
        <v>113.16</v>
      </c>
      <c r="N26" s="517">
        <f>ROUND(((1+N$6)*M26),2)</f>
        <v>116.33</v>
      </c>
      <c r="O26" s="517">
        <f>ROUND(((1+O$6)*N26),2)</f>
        <v>119.12</v>
      </c>
      <c r="P26" s="517">
        <f t="shared" si="0"/>
        <v>122.34</v>
      </c>
      <c r="Q26" s="517">
        <f t="shared" si="0"/>
        <v>126.99</v>
      </c>
      <c r="R26" s="517">
        <f t="shared" si="0"/>
        <v>131.05000000000001</v>
      </c>
      <c r="S26" s="517">
        <f t="shared" si="0"/>
        <v>136.29</v>
      </c>
      <c r="T26" s="517">
        <f t="shared" si="0"/>
        <v>137.79</v>
      </c>
      <c r="U26" s="517">
        <f t="shared" si="0"/>
        <v>143.03</v>
      </c>
      <c r="V26" s="517">
        <f t="shared" si="0"/>
        <v>150.18</v>
      </c>
    </row>
    <row r="27" spans="1:22" ht="14.1" customHeight="1">
      <c r="B27" s="517" t="s">
        <v>638</v>
      </c>
      <c r="F27" s="539" t="s">
        <v>623</v>
      </c>
      <c r="G27" s="545"/>
      <c r="H27" s="540"/>
      <c r="J27" s="519"/>
    </row>
    <row r="28" spans="1:22" ht="14.1" customHeight="1">
      <c r="F28" s="539"/>
      <c r="J28" s="519"/>
    </row>
    <row r="29" spans="1:22" ht="14.1" customHeight="1">
      <c r="A29" s="517" t="s">
        <v>639</v>
      </c>
      <c r="F29" s="539"/>
      <c r="J29" s="519"/>
    </row>
    <row r="30" spans="1:22" ht="14.1" customHeight="1">
      <c r="B30" s="517" t="s">
        <v>640</v>
      </c>
      <c r="F30" s="539">
        <v>16</v>
      </c>
      <c r="G30" s="531" t="s">
        <v>641</v>
      </c>
      <c r="H30" s="540"/>
      <c r="I30" s="546" t="s">
        <v>642</v>
      </c>
      <c r="J30" s="546"/>
    </row>
    <row r="31" spans="1:22" ht="14.1" customHeight="1">
      <c r="B31" s="517" t="s">
        <v>643</v>
      </c>
      <c r="F31" s="539">
        <v>90</v>
      </c>
      <c r="G31" s="531" t="s">
        <v>644</v>
      </c>
      <c r="H31" s="540"/>
      <c r="I31" s="546" t="s">
        <v>642</v>
      </c>
      <c r="J31" s="546"/>
    </row>
    <row r="32" spans="1:22" ht="14.1" customHeight="1">
      <c r="F32" s="539"/>
      <c r="J32" s="519"/>
    </row>
    <row r="33" spans="1:22" ht="14.1" customHeight="1">
      <c r="A33" s="517" t="s">
        <v>645</v>
      </c>
      <c r="F33" s="539"/>
      <c r="J33" s="519"/>
    </row>
    <row r="34" spans="1:22" ht="14.1" customHeight="1">
      <c r="B34" s="517" t="s">
        <v>646</v>
      </c>
      <c r="F34" s="539" t="s">
        <v>623</v>
      </c>
      <c r="G34" s="545"/>
      <c r="H34" s="540"/>
      <c r="J34" s="519"/>
    </row>
    <row r="35" spans="1:22" ht="14.1" customHeight="1">
      <c r="B35" s="517" t="s">
        <v>647</v>
      </c>
      <c r="E35" s="544"/>
      <c r="F35" s="539">
        <f>ROUND(V35,0)</f>
        <v>150</v>
      </c>
      <c r="G35" s="531" t="s">
        <v>635</v>
      </c>
      <c r="H35" s="542">
        <v>143.03</v>
      </c>
      <c r="I35" s="519">
        <f>103*1.008</f>
        <v>103.824</v>
      </c>
      <c r="J35" s="519">
        <f>I35*1.017</f>
        <v>105.58900799999999</v>
      </c>
      <c r="K35" s="517">
        <f>ROUND(((1+$K$6)*J35),2)</f>
        <v>108.55</v>
      </c>
      <c r="L35" s="517">
        <f>ROUND(((1+$L$6)*K35),2)</f>
        <v>110.83</v>
      </c>
      <c r="M35" s="517">
        <f>ROUND(((1+$L$6)*L35),2)</f>
        <v>113.16</v>
      </c>
      <c r="N35" s="517">
        <f>ROUND(((1+N$6)*M35),2)</f>
        <v>116.33</v>
      </c>
      <c r="O35" s="517">
        <f>ROUND(((1+O$6)*N35),2)</f>
        <v>119.12</v>
      </c>
      <c r="P35" s="517">
        <f t="shared" si="0"/>
        <v>122.34</v>
      </c>
      <c r="Q35" s="517">
        <f t="shared" si="0"/>
        <v>126.99</v>
      </c>
      <c r="R35" s="517">
        <f t="shared" si="0"/>
        <v>131.05000000000001</v>
      </c>
      <c r="S35" s="517">
        <f t="shared" si="0"/>
        <v>136.29</v>
      </c>
      <c r="T35" s="517">
        <f t="shared" si="0"/>
        <v>137.79</v>
      </c>
      <c r="U35" s="517">
        <f t="shared" si="0"/>
        <v>143.03</v>
      </c>
      <c r="V35" s="517">
        <f t="shared" si="0"/>
        <v>150.18</v>
      </c>
    </row>
    <row r="36" spans="1:22" ht="14.1" customHeight="1">
      <c r="F36" s="539"/>
      <c r="J36" s="519"/>
    </row>
    <row r="37" spans="1:22" ht="14.1" customHeight="1">
      <c r="A37" s="517" t="s">
        <v>648</v>
      </c>
      <c r="F37" s="539"/>
      <c r="J37" s="519"/>
    </row>
    <row r="38" spans="1:22" ht="14.1" customHeight="1">
      <c r="B38" s="517" t="s">
        <v>646</v>
      </c>
      <c r="F38" s="539" t="s">
        <v>623</v>
      </c>
      <c r="G38" s="545"/>
      <c r="H38" s="540"/>
      <c r="J38" s="519"/>
    </row>
    <row r="39" spans="1:22" ht="14.1" customHeight="1">
      <c r="B39" s="517" t="s">
        <v>647</v>
      </c>
      <c r="E39" s="544"/>
      <c r="F39" s="539">
        <f>ROUND(V39,0)</f>
        <v>449</v>
      </c>
      <c r="G39" s="531" t="s">
        <v>627</v>
      </c>
      <c r="H39" s="540">
        <v>427.66</v>
      </c>
      <c r="I39" s="519">
        <f>308*1.008</f>
        <v>310.464</v>
      </c>
      <c r="J39" s="519">
        <f>I39*1.017</f>
        <v>315.74188799999996</v>
      </c>
      <c r="K39" s="517">
        <f>ROUND(((1+$K$6)*J39),2)</f>
        <v>324.58</v>
      </c>
      <c r="L39" s="517">
        <f>ROUND(((1+$L$6)*K39),2)</f>
        <v>331.4</v>
      </c>
      <c r="M39" s="517">
        <f>ROUND(((1+$L$6)*L39),2)</f>
        <v>338.36</v>
      </c>
      <c r="N39" s="517">
        <f>ROUND(((1+N$6)*M39),2)</f>
        <v>347.83</v>
      </c>
      <c r="O39" s="517">
        <f>ROUND(((1+O$6)*N39),2)</f>
        <v>356.18</v>
      </c>
      <c r="P39" s="517">
        <f t="shared" si="0"/>
        <v>365.8</v>
      </c>
      <c r="Q39" s="517">
        <f t="shared" si="0"/>
        <v>379.7</v>
      </c>
      <c r="R39" s="517">
        <f t="shared" si="0"/>
        <v>391.85</v>
      </c>
      <c r="S39" s="517">
        <f t="shared" si="0"/>
        <v>407.52</v>
      </c>
      <c r="T39" s="517">
        <f t="shared" si="0"/>
        <v>412</v>
      </c>
      <c r="U39" s="517">
        <f t="shared" si="0"/>
        <v>427.66</v>
      </c>
      <c r="V39" s="517">
        <f t="shared" si="0"/>
        <v>449.04</v>
      </c>
    </row>
    <row r="40" spans="1:22" ht="14.1" customHeight="1">
      <c r="F40" s="539"/>
      <c r="J40" s="519"/>
    </row>
    <row r="41" spans="1:22" ht="14.1" customHeight="1">
      <c r="A41" s="517" t="s">
        <v>649</v>
      </c>
      <c r="F41" s="539"/>
      <c r="J41" s="519"/>
    </row>
    <row r="42" spans="1:22" ht="14.1" customHeight="1">
      <c r="B42" s="517" t="s">
        <v>650</v>
      </c>
      <c r="F42" s="539" t="s">
        <v>623</v>
      </c>
      <c r="H42" s="540" t="s">
        <v>651</v>
      </c>
      <c r="J42" s="519"/>
      <c r="U42" s="540" t="s">
        <v>652</v>
      </c>
    </row>
    <row r="43" spans="1:22" ht="14.1" hidden="1" customHeight="1">
      <c r="C43" s="517" t="s">
        <v>653</v>
      </c>
      <c r="E43" s="544"/>
      <c r="F43" s="539">
        <f t="shared" ref="F43:F45" si="3">ROUND(U43,0)</f>
        <v>0</v>
      </c>
      <c r="G43" s="531" t="s">
        <v>654</v>
      </c>
      <c r="H43" s="542">
        <f>T43</f>
        <v>7623.38</v>
      </c>
      <c r="I43" s="519">
        <f>5700*1.008</f>
        <v>5745.6</v>
      </c>
      <c r="J43" s="519">
        <f>I43*1.017</f>
        <v>5843.2752</v>
      </c>
      <c r="K43" s="519">
        <f>ROUND(((1+$K$6)*J43),2)</f>
        <v>6006.89</v>
      </c>
      <c r="L43" s="519">
        <f t="shared" ref="L43:M45" si="4">ROUND(((1+$L$6)*K43),2)</f>
        <v>6133.03</v>
      </c>
      <c r="M43" s="519">
        <f t="shared" si="4"/>
        <v>6261.82</v>
      </c>
      <c r="N43" s="519">
        <f>ROUND(((1+N$6)*TRUNC(M43)),2)</f>
        <v>6436.31</v>
      </c>
      <c r="O43" s="519">
        <f>ROUND(((1+O$6)*TRUNC(N43)),2)</f>
        <v>6590.46</v>
      </c>
      <c r="P43" s="519">
        <f t="shared" si="0"/>
        <v>6768.4</v>
      </c>
      <c r="Q43" s="519">
        <f t="shared" si="0"/>
        <v>7025.6</v>
      </c>
      <c r="R43" s="519">
        <f t="shared" si="0"/>
        <v>7250.42</v>
      </c>
      <c r="S43" s="519">
        <f t="shared" si="0"/>
        <v>7540.44</v>
      </c>
      <c r="T43" s="517">
        <f t="shared" si="0"/>
        <v>7623.38</v>
      </c>
    </row>
    <row r="44" spans="1:22" ht="14.1" hidden="1" customHeight="1">
      <c r="C44" s="517" t="s">
        <v>655</v>
      </c>
      <c r="E44" s="544"/>
      <c r="F44" s="539">
        <f t="shared" si="3"/>
        <v>0</v>
      </c>
      <c r="G44" s="531" t="s">
        <v>654</v>
      </c>
      <c r="H44" s="542">
        <f t="shared" ref="H44:H45" si="5">T44</f>
        <v>9898.7999999999993</v>
      </c>
      <c r="I44" s="519">
        <f>7400*1.008</f>
        <v>7459.2</v>
      </c>
      <c r="J44" s="519">
        <f>I44*1.017</f>
        <v>7586.0063999999993</v>
      </c>
      <c r="K44" s="519">
        <f>ROUND(((1+$K$6)*J44),2)</f>
        <v>7798.41</v>
      </c>
      <c r="L44" s="519">
        <f t="shared" si="4"/>
        <v>7962.18</v>
      </c>
      <c r="M44" s="519">
        <f t="shared" si="4"/>
        <v>8129.39</v>
      </c>
      <c r="N44" s="519">
        <f>ROUND(((1+N$6)*M44),2)</f>
        <v>8357.01</v>
      </c>
      <c r="O44" s="519">
        <f>ROUND(((1+O$6)*N44),2)</f>
        <v>8557.58</v>
      </c>
      <c r="P44" s="519">
        <f t="shared" si="0"/>
        <v>8788.6299999999992</v>
      </c>
      <c r="Q44" s="519">
        <f t="shared" si="0"/>
        <v>9122.6</v>
      </c>
      <c r="R44" s="519">
        <f t="shared" si="0"/>
        <v>9414.52</v>
      </c>
      <c r="S44" s="519">
        <f t="shared" si="0"/>
        <v>9791.1</v>
      </c>
      <c r="T44" s="517">
        <f t="shared" si="0"/>
        <v>9898.7999999999993</v>
      </c>
    </row>
    <row r="45" spans="1:22" ht="14.1" hidden="1" customHeight="1">
      <c r="C45" s="517" t="s">
        <v>656</v>
      </c>
      <c r="E45" s="544"/>
      <c r="F45" s="539">
        <f t="shared" si="3"/>
        <v>0</v>
      </c>
      <c r="G45" s="531" t="s">
        <v>654</v>
      </c>
      <c r="H45" s="542">
        <f t="shared" si="5"/>
        <v>12039.09</v>
      </c>
      <c r="I45" s="519">
        <f>9000*1.008</f>
        <v>9072</v>
      </c>
      <c r="J45" s="519">
        <f>I45*1.017</f>
        <v>9226.2239999999983</v>
      </c>
      <c r="K45" s="519">
        <f>ROUND(((1+$K$6)*J45),2)</f>
        <v>9484.56</v>
      </c>
      <c r="L45" s="519">
        <f t="shared" si="4"/>
        <v>9683.74</v>
      </c>
      <c r="M45" s="519">
        <f t="shared" si="4"/>
        <v>9887.1</v>
      </c>
      <c r="N45" s="519">
        <f>ROUND(((1+N$6)*M45),2)</f>
        <v>10163.94</v>
      </c>
      <c r="O45" s="519">
        <f>ROUND(((1+O$6)*N45),2)</f>
        <v>10407.870000000001</v>
      </c>
      <c r="P45" s="519">
        <f t="shared" si="0"/>
        <v>10688.88</v>
      </c>
      <c r="Q45" s="519">
        <f t="shared" si="0"/>
        <v>11095.06</v>
      </c>
      <c r="R45" s="519">
        <f t="shared" si="0"/>
        <v>11450.1</v>
      </c>
      <c r="S45" s="519">
        <f t="shared" si="0"/>
        <v>11908.1</v>
      </c>
      <c r="T45" s="517">
        <f t="shared" si="0"/>
        <v>12039.09</v>
      </c>
    </row>
    <row r="46" spans="1:22" ht="14.1" customHeight="1">
      <c r="C46" s="517" t="s">
        <v>657</v>
      </c>
      <c r="F46" s="539" t="s">
        <v>623</v>
      </c>
      <c r="H46" s="540" t="s">
        <v>651</v>
      </c>
      <c r="J46" s="519"/>
      <c r="K46" s="519"/>
      <c r="L46" s="519"/>
      <c r="M46" s="519"/>
      <c r="N46" s="519"/>
      <c r="O46" s="519"/>
      <c r="P46" s="519"/>
      <c r="Q46" s="519"/>
      <c r="R46" s="519"/>
      <c r="S46" s="519"/>
    </row>
    <row r="47" spans="1:22" ht="14.1" customHeight="1">
      <c r="C47" s="517" t="s">
        <v>658</v>
      </c>
      <c r="E47" s="544"/>
      <c r="F47" s="539">
        <f>ROUND(V47,0)</f>
        <v>2187</v>
      </c>
      <c r="G47" s="531" t="s">
        <v>659</v>
      </c>
      <c r="H47" s="542">
        <v>2082.77</v>
      </c>
      <c r="I47" s="519">
        <f>1500*1.008</f>
        <v>1512</v>
      </c>
      <c r="J47" s="519">
        <f>I47*1.017</f>
        <v>1537.704</v>
      </c>
      <c r="K47" s="519">
        <f>ROUND(((1+$K$6)*J47),2)</f>
        <v>1580.76</v>
      </c>
      <c r="L47" s="519">
        <f>ROUND(((1+$L$6)*K47),2)</f>
        <v>1613.96</v>
      </c>
      <c r="M47" s="519">
        <f>ROUND(((1+$L$6)*L47),2)</f>
        <v>1647.85</v>
      </c>
      <c r="N47" s="519">
        <f t="shared" ref="N47:V62" si="6">ROUND(((1+N$6)*M47),2)</f>
        <v>1693.99</v>
      </c>
      <c r="O47" s="519">
        <f t="shared" si="6"/>
        <v>1734.65</v>
      </c>
      <c r="P47" s="519">
        <f t="shared" si="6"/>
        <v>1781.49</v>
      </c>
      <c r="Q47" s="519">
        <f t="shared" si="6"/>
        <v>1849.19</v>
      </c>
      <c r="R47" s="519">
        <f t="shared" si="6"/>
        <v>1908.36</v>
      </c>
      <c r="S47" s="519">
        <f t="shared" si="6"/>
        <v>1984.69</v>
      </c>
      <c r="T47" s="517">
        <f t="shared" si="6"/>
        <v>2006.52</v>
      </c>
      <c r="U47" s="517">
        <f t="shared" si="6"/>
        <v>2082.77</v>
      </c>
      <c r="V47" s="517">
        <f t="shared" si="0"/>
        <v>2186.91</v>
      </c>
    </row>
    <row r="48" spans="1:22" ht="14.1" customHeight="1">
      <c r="B48" s="517" t="s">
        <v>647</v>
      </c>
      <c r="E48" s="544"/>
      <c r="F48" s="539">
        <f>ROUND(V48,0)</f>
        <v>300</v>
      </c>
      <c r="G48" s="531" t="s">
        <v>627</v>
      </c>
      <c r="H48" s="542">
        <v>286.02999999999997</v>
      </c>
      <c r="I48" s="519">
        <f>206*1.008</f>
        <v>207.648</v>
      </c>
      <c r="J48" s="519">
        <f>I48*1.017</f>
        <v>211.17801599999999</v>
      </c>
      <c r="K48" s="519">
        <f>ROUND(((1+$K$6)*J48),2)</f>
        <v>217.09</v>
      </c>
      <c r="L48" s="519">
        <f>ROUND(((1+$L$6)*K48),2)</f>
        <v>221.65</v>
      </c>
      <c r="M48" s="519">
        <f>ROUND(((1+$L$6)*L48),2)</f>
        <v>226.3</v>
      </c>
      <c r="N48" s="519">
        <f>ROUND(((1+N$6)*M48),2)</f>
        <v>232.64</v>
      </c>
      <c r="O48" s="519">
        <f>ROUND(((1+O$6)*N48),2)</f>
        <v>238.22</v>
      </c>
      <c r="P48" s="519">
        <f t="shared" si="6"/>
        <v>244.65</v>
      </c>
      <c r="Q48" s="519">
        <f t="shared" si="6"/>
        <v>253.95</v>
      </c>
      <c r="R48" s="519">
        <f t="shared" si="6"/>
        <v>262.08</v>
      </c>
      <c r="S48" s="519">
        <f t="shared" si="6"/>
        <v>272.56</v>
      </c>
      <c r="T48" s="517">
        <f t="shared" si="6"/>
        <v>275.56</v>
      </c>
      <c r="U48" s="517">
        <f t="shared" si="6"/>
        <v>286.02999999999997</v>
      </c>
      <c r="V48" s="517">
        <f t="shared" si="0"/>
        <v>300.33</v>
      </c>
    </row>
    <row r="49" spans="1:22" ht="14.1" customHeight="1">
      <c r="F49" s="539"/>
      <c r="J49" s="519"/>
    </row>
    <row r="50" spans="1:22" ht="14.1" customHeight="1">
      <c r="A50" s="517" t="s">
        <v>660</v>
      </c>
      <c r="F50" s="539"/>
      <c r="J50" s="519"/>
    </row>
    <row r="51" spans="1:22" ht="14.1" customHeight="1">
      <c r="B51" s="517" t="s">
        <v>661</v>
      </c>
      <c r="E51" s="544"/>
      <c r="F51" s="539">
        <f>ROUND(V51,0)</f>
        <v>729</v>
      </c>
      <c r="G51" s="531" t="s">
        <v>662</v>
      </c>
      <c r="H51" s="542">
        <v>694.26</v>
      </c>
      <c r="I51" s="519">
        <f>500*1.008</f>
        <v>504</v>
      </c>
      <c r="J51" s="519">
        <f>I51*1.017</f>
        <v>512.56799999999998</v>
      </c>
      <c r="K51" s="517">
        <f>ROUND(((1+$K$6)*J51),2)</f>
        <v>526.91999999999996</v>
      </c>
      <c r="L51" s="517">
        <f>ROUND(((1+$L$6)*K51),2)</f>
        <v>537.99</v>
      </c>
      <c r="M51" s="517">
        <f>ROUND(((1+$L$6)*L51),2)</f>
        <v>549.29</v>
      </c>
      <c r="N51" s="517">
        <f>ROUND(((1+N$6)*M51),2)</f>
        <v>564.66999999999996</v>
      </c>
      <c r="O51" s="517">
        <f>ROUND(((1+O$6)*N51),2)</f>
        <v>578.22</v>
      </c>
      <c r="P51" s="517">
        <f t="shared" si="6"/>
        <v>593.83000000000004</v>
      </c>
      <c r="Q51" s="517">
        <f t="shared" si="6"/>
        <v>616.4</v>
      </c>
      <c r="R51" s="517">
        <f t="shared" si="6"/>
        <v>636.12</v>
      </c>
      <c r="S51" s="517">
        <f t="shared" si="6"/>
        <v>661.56</v>
      </c>
      <c r="T51" s="517">
        <f t="shared" si="6"/>
        <v>668.84</v>
      </c>
      <c r="U51" s="517">
        <f t="shared" si="6"/>
        <v>694.26</v>
      </c>
      <c r="V51" s="517">
        <f t="shared" si="6"/>
        <v>728.97</v>
      </c>
    </row>
    <row r="52" spans="1:22" ht="14.1" customHeight="1">
      <c r="B52" s="517" t="s">
        <v>647</v>
      </c>
      <c r="E52" s="544"/>
      <c r="F52" s="539">
        <f>ROUND(V52,0)</f>
        <v>225</v>
      </c>
      <c r="G52" s="531" t="s">
        <v>627</v>
      </c>
      <c r="H52" s="542">
        <v>213.84</v>
      </c>
      <c r="I52" s="519">
        <f>154*1.008</f>
        <v>155.232</v>
      </c>
      <c r="J52" s="519">
        <f>I52*1.017</f>
        <v>157.87094399999998</v>
      </c>
      <c r="K52" s="517">
        <f>ROUND(((1+$K$6)*J52),2)</f>
        <v>162.29</v>
      </c>
      <c r="L52" s="517">
        <f>ROUND(((1+$L$6)*K52),2)</f>
        <v>165.7</v>
      </c>
      <c r="M52" s="517">
        <f>ROUND(((1+$L$6)*L52),2)</f>
        <v>169.18</v>
      </c>
      <c r="N52" s="517">
        <f>ROUND(((1+N$6)*M52),2)</f>
        <v>173.92</v>
      </c>
      <c r="O52" s="517">
        <f>ROUND(((1+O$6)*N52),2)</f>
        <v>178.09</v>
      </c>
      <c r="P52" s="517">
        <f t="shared" si="6"/>
        <v>182.9</v>
      </c>
      <c r="Q52" s="517">
        <f t="shared" si="6"/>
        <v>189.85</v>
      </c>
      <c r="R52" s="517">
        <f t="shared" si="6"/>
        <v>195.93</v>
      </c>
      <c r="S52" s="517">
        <f t="shared" si="6"/>
        <v>203.77</v>
      </c>
      <c r="T52" s="517">
        <f t="shared" si="6"/>
        <v>206.01</v>
      </c>
      <c r="U52" s="517">
        <f t="shared" si="6"/>
        <v>213.84</v>
      </c>
      <c r="V52" s="517">
        <f t="shared" si="6"/>
        <v>224.53</v>
      </c>
    </row>
    <row r="53" spans="1:22" ht="14.1" customHeight="1">
      <c r="F53" s="539"/>
      <c r="J53" s="519"/>
    </row>
    <row r="54" spans="1:22" ht="14.1" customHeight="1">
      <c r="A54" s="517" t="s">
        <v>663</v>
      </c>
      <c r="F54" s="539"/>
      <c r="J54" s="519"/>
    </row>
    <row r="55" spans="1:22" ht="14.1" customHeight="1">
      <c r="B55" s="517" t="s">
        <v>646</v>
      </c>
      <c r="E55" s="544"/>
      <c r="F55" s="539">
        <f>ROUND(V55,0)</f>
        <v>729</v>
      </c>
      <c r="G55" s="531" t="s">
        <v>662</v>
      </c>
      <c r="H55" s="542">
        <v>694.26</v>
      </c>
      <c r="I55" s="519">
        <f>500*1.008</f>
        <v>504</v>
      </c>
      <c r="J55" s="519">
        <f>I55*1.017</f>
        <v>512.56799999999998</v>
      </c>
      <c r="K55" s="517">
        <f>ROUND(((1+$K$6)*J55),2)</f>
        <v>526.91999999999996</v>
      </c>
      <c r="L55" s="517">
        <f>ROUND(((1+$L$6)*K55),2)</f>
        <v>537.99</v>
      </c>
      <c r="M55" s="517">
        <f>ROUND(((1+$L$6)*L55),2)</f>
        <v>549.29</v>
      </c>
      <c r="N55" s="517">
        <f>ROUND(((1+N$6)*M55),2)</f>
        <v>564.66999999999996</v>
      </c>
      <c r="O55" s="517">
        <f>ROUND(((1+O$6)*N55),2)</f>
        <v>578.22</v>
      </c>
      <c r="P55" s="517">
        <f t="shared" si="6"/>
        <v>593.83000000000004</v>
      </c>
      <c r="Q55" s="517">
        <f t="shared" si="6"/>
        <v>616.4</v>
      </c>
      <c r="R55" s="517">
        <f t="shared" si="6"/>
        <v>636.12</v>
      </c>
      <c r="S55" s="517">
        <f t="shared" si="6"/>
        <v>661.56</v>
      </c>
      <c r="T55" s="517">
        <f t="shared" si="6"/>
        <v>668.84</v>
      </c>
      <c r="U55" s="517">
        <f t="shared" si="6"/>
        <v>694.26</v>
      </c>
      <c r="V55" s="517">
        <f t="shared" si="6"/>
        <v>728.97</v>
      </c>
    </row>
    <row r="56" spans="1:22" ht="14.1" customHeight="1">
      <c r="B56" s="517" t="s">
        <v>647</v>
      </c>
      <c r="E56" s="544"/>
      <c r="F56" s="539">
        <f>ROUND(V56,0)</f>
        <v>225</v>
      </c>
      <c r="G56" s="531" t="s">
        <v>627</v>
      </c>
      <c r="H56" s="542">
        <v>213.84</v>
      </c>
      <c r="I56" s="519">
        <f>154*1.008</f>
        <v>155.232</v>
      </c>
      <c r="J56" s="519">
        <f>I56*1.017</f>
        <v>157.87094399999998</v>
      </c>
      <c r="K56" s="517">
        <f>ROUND(((1+$K$6)*J56),2)</f>
        <v>162.29</v>
      </c>
      <c r="L56" s="517">
        <f>ROUND(((1+$L$6)*K56),2)</f>
        <v>165.7</v>
      </c>
      <c r="M56" s="517">
        <f>ROUND(((1+$L$6)*L56),2)</f>
        <v>169.18</v>
      </c>
      <c r="N56" s="517">
        <f>ROUND(((1+N$6)*M56),2)</f>
        <v>173.92</v>
      </c>
      <c r="O56" s="517">
        <f>ROUND(((1+O$6)*N56),2)</f>
        <v>178.09</v>
      </c>
      <c r="P56" s="517">
        <f t="shared" si="6"/>
        <v>182.9</v>
      </c>
      <c r="Q56" s="517">
        <f t="shared" si="6"/>
        <v>189.85</v>
      </c>
      <c r="R56" s="517">
        <f t="shared" si="6"/>
        <v>195.93</v>
      </c>
      <c r="S56" s="517">
        <f t="shared" si="6"/>
        <v>203.77</v>
      </c>
      <c r="T56" s="517">
        <f t="shared" si="6"/>
        <v>206.01</v>
      </c>
      <c r="U56" s="517">
        <f t="shared" si="6"/>
        <v>213.84</v>
      </c>
      <c r="V56" s="517">
        <f t="shared" si="6"/>
        <v>224.53</v>
      </c>
    </row>
    <row r="57" spans="1:22" ht="14.1" customHeight="1">
      <c r="F57" s="539"/>
      <c r="J57" s="519"/>
    </row>
    <row r="58" spans="1:22" ht="14.1" customHeight="1">
      <c r="A58" s="517" t="s">
        <v>664</v>
      </c>
      <c r="F58" s="539"/>
      <c r="J58" s="519"/>
    </row>
    <row r="59" spans="1:22" ht="14.1" customHeight="1">
      <c r="B59" s="517" t="s">
        <v>665</v>
      </c>
      <c r="E59" s="544"/>
      <c r="F59" s="539">
        <f>ROUND(V59,0)</f>
        <v>225</v>
      </c>
      <c r="G59" s="531" t="s">
        <v>627</v>
      </c>
      <c r="H59" s="540">
        <v>213.83</v>
      </c>
      <c r="J59" s="519"/>
      <c r="T59" s="517">
        <v>206</v>
      </c>
      <c r="U59" s="517">
        <f t="shared" si="6"/>
        <v>213.83</v>
      </c>
      <c r="V59" s="517">
        <f t="shared" si="6"/>
        <v>224.52</v>
      </c>
    </row>
    <row r="60" spans="1:22" ht="14.1" customHeight="1">
      <c r="F60" s="539"/>
      <c r="J60" s="519"/>
    </row>
    <row r="61" spans="1:22" ht="14.1" customHeight="1">
      <c r="A61" s="517" t="s">
        <v>666</v>
      </c>
      <c r="F61" s="539"/>
      <c r="J61" s="519"/>
    </row>
    <row r="62" spans="1:22" ht="14.1" customHeight="1">
      <c r="B62" s="517" t="s">
        <v>646</v>
      </c>
      <c r="E62" s="544"/>
      <c r="F62" s="539">
        <f>ROUND(V62,0)</f>
        <v>364</v>
      </c>
      <c r="G62" s="531" t="s">
        <v>662</v>
      </c>
      <c r="H62" s="542">
        <v>347.13</v>
      </c>
      <c r="I62" s="519">
        <f>250*1.008</f>
        <v>252</v>
      </c>
      <c r="J62" s="519">
        <f>I62*1.017</f>
        <v>256.28399999999999</v>
      </c>
      <c r="K62" s="517">
        <f>ROUND(((1+$K$6)*J62),2)</f>
        <v>263.45999999999998</v>
      </c>
      <c r="L62" s="517">
        <f>ROUND(((1+$L$6)*K62),2)</f>
        <v>268.99</v>
      </c>
      <c r="M62" s="517">
        <f>ROUND(((1+$L$6)*L62),2)</f>
        <v>274.64</v>
      </c>
      <c r="N62" s="517">
        <f>ROUND(((1+N$6)*M62),2)</f>
        <v>282.33</v>
      </c>
      <c r="O62" s="517">
        <f>ROUND(((1+O$6)*N62),2)</f>
        <v>289.11</v>
      </c>
      <c r="P62" s="517">
        <f t="shared" si="6"/>
        <v>296.92</v>
      </c>
      <c r="Q62" s="517">
        <f t="shared" si="6"/>
        <v>308.2</v>
      </c>
      <c r="R62" s="517">
        <f t="shared" si="6"/>
        <v>318.06</v>
      </c>
      <c r="S62" s="517">
        <f t="shared" si="6"/>
        <v>330.78</v>
      </c>
      <c r="T62" s="517">
        <f t="shared" si="6"/>
        <v>334.42</v>
      </c>
      <c r="U62" s="517">
        <f t="shared" si="6"/>
        <v>347.13</v>
      </c>
      <c r="V62" s="517">
        <f t="shared" si="6"/>
        <v>364.49</v>
      </c>
    </row>
    <row r="63" spans="1:22" ht="14.1" customHeight="1">
      <c r="B63" s="517" t="s">
        <v>647</v>
      </c>
      <c r="E63" s="544"/>
      <c r="F63" s="539">
        <f>ROUND(V63,0)</f>
        <v>150</v>
      </c>
      <c r="G63" s="531" t="s">
        <v>627</v>
      </c>
      <c r="H63" s="542">
        <v>143.03</v>
      </c>
      <c r="I63" s="519">
        <f>103*1.008</f>
        <v>103.824</v>
      </c>
      <c r="J63" s="519">
        <f>I63*1.017</f>
        <v>105.58900799999999</v>
      </c>
      <c r="K63" s="517">
        <f>ROUND(((1+$K$6)*J63),2)</f>
        <v>108.55</v>
      </c>
      <c r="L63" s="517">
        <f>ROUND(((1+$L$6)*K63),2)</f>
        <v>110.83</v>
      </c>
      <c r="M63" s="517">
        <f>ROUND(((1+$L$6)*L63),2)</f>
        <v>113.16</v>
      </c>
      <c r="N63" s="517">
        <f>ROUND(((1+N$6)*M63),2)</f>
        <v>116.33</v>
      </c>
      <c r="O63" s="517">
        <f>ROUND(((1+O$6)*N63),2)</f>
        <v>119.12</v>
      </c>
      <c r="P63" s="517">
        <f t="shared" ref="P63:V107" si="7">ROUND(((1+P$6)*O63),2)</f>
        <v>122.34</v>
      </c>
      <c r="Q63" s="517">
        <f t="shared" si="7"/>
        <v>126.99</v>
      </c>
      <c r="R63" s="517">
        <f t="shared" si="7"/>
        <v>131.05000000000001</v>
      </c>
      <c r="S63" s="517">
        <f t="shared" si="7"/>
        <v>136.29</v>
      </c>
      <c r="T63" s="517">
        <f t="shared" si="7"/>
        <v>137.79</v>
      </c>
      <c r="U63" s="517">
        <f t="shared" si="7"/>
        <v>143.03</v>
      </c>
      <c r="V63" s="517">
        <f t="shared" si="7"/>
        <v>150.18</v>
      </c>
    </row>
    <row r="64" spans="1:22" s="547" customFormat="1" ht="14.1" customHeight="1"/>
    <row r="65" spans="1:23" ht="14.1" customHeight="1">
      <c r="A65" s="517" t="s">
        <v>667</v>
      </c>
      <c r="E65" s="544"/>
      <c r="F65" s="548">
        <f>ROUND(V65,0)</f>
        <v>131</v>
      </c>
      <c r="G65" s="531" t="s">
        <v>627</v>
      </c>
      <c r="H65" s="542">
        <v>125</v>
      </c>
      <c r="J65" s="519"/>
      <c r="S65" s="549"/>
      <c r="U65" s="549">
        <v>125</v>
      </c>
      <c r="V65" s="517">
        <f t="shared" ref="V65" si="8">ROUND(((1+V$6)*U65),2)</f>
        <v>131.25</v>
      </c>
      <c r="W65" s="549"/>
    </row>
    <row r="66" spans="1:23" ht="14.1" customHeight="1">
      <c r="F66" s="539"/>
      <c r="J66" s="519"/>
    </row>
    <row r="67" spans="1:23" ht="14.1" customHeight="1">
      <c r="A67" s="517" t="s">
        <v>668</v>
      </c>
      <c r="F67" s="539"/>
      <c r="J67" s="519"/>
    </row>
    <row r="68" spans="1:23" ht="14.1" customHeight="1">
      <c r="B68" s="517" t="s">
        <v>669</v>
      </c>
      <c r="F68" s="539" t="s">
        <v>623</v>
      </c>
      <c r="G68" s="545"/>
      <c r="J68" s="519"/>
    </row>
    <row r="69" spans="1:23" ht="14.1" customHeight="1">
      <c r="B69" s="517" t="s">
        <v>647</v>
      </c>
      <c r="E69" s="544"/>
      <c r="F69" s="539">
        <f>F106*2</f>
        <v>300</v>
      </c>
      <c r="G69" s="531" t="s">
        <v>670</v>
      </c>
      <c r="H69" s="542">
        <f>U69</f>
        <v>286.06</v>
      </c>
      <c r="I69" s="519" t="s">
        <v>671</v>
      </c>
      <c r="J69" s="519"/>
      <c r="U69" s="517">
        <f>U106*2</f>
        <v>286.06</v>
      </c>
      <c r="V69" s="517">
        <f>V106*2</f>
        <v>300.36</v>
      </c>
    </row>
    <row r="70" spans="1:23" ht="14.1" customHeight="1">
      <c r="F70" s="539"/>
      <c r="J70" s="519"/>
    </row>
    <row r="71" spans="1:23" ht="14.1" customHeight="1">
      <c r="A71" s="517" t="s">
        <v>672</v>
      </c>
      <c r="F71" s="539"/>
      <c r="J71" s="519"/>
    </row>
    <row r="72" spans="1:23" ht="14.1" customHeight="1">
      <c r="B72" s="517" t="s">
        <v>42</v>
      </c>
      <c r="E72" s="544"/>
      <c r="F72" s="539">
        <f>ROUND(V72,0)</f>
        <v>300</v>
      </c>
      <c r="G72" s="531" t="s">
        <v>673</v>
      </c>
      <c r="H72" s="542">
        <v>286.02999999999997</v>
      </c>
      <c r="I72" s="519">
        <f>206*1.008</f>
        <v>207.648</v>
      </c>
      <c r="J72" s="519">
        <f>I72*1.017</f>
        <v>211.17801599999999</v>
      </c>
      <c r="K72" s="517">
        <f>ROUND(((1+$K$6)*J72),2)</f>
        <v>217.09</v>
      </c>
      <c r="L72" s="517">
        <f>ROUND(((1+$L$6)*K72),2)</f>
        <v>221.65</v>
      </c>
      <c r="M72" s="517">
        <f>ROUND(((1+$L$6)*L72),2)</f>
        <v>226.3</v>
      </c>
      <c r="N72" s="517">
        <f>ROUND(((1+N$6)*M72),2)</f>
        <v>232.64</v>
      </c>
      <c r="O72" s="517">
        <f>ROUND(((1+O$6)*N72),2)</f>
        <v>238.22</v>
      </c>
      <c r="P72" s="517">
        <f t="shared" si="7"/>
        <v>244.65</v>
      </c>
      <c r="Q72" s="517">
        <f t="shared" si="7"/>
        <v>253.95</v>
      </c>
      <c r="R72" s="517">
        <f t="shared" si="7"/>
        <v>262.08</v>
      </c>
      <c r="S72" s="517">
        <f t="shared" si="7"/>
        <v>272.56</v>
      </c>
      <c r="T72" s="517">
        <f t="shared" si="7"/>
        <v>275.56</v>
      </c>
      <c r="U72" s="517">
        <f t="shared" si="7"/>
        <v>286.02999999999997</v>
      </c>
      <c r="V72" s="517">
        <f t="shared" si="7"/>
        <v>300.33</v>
      </c>
    </row>
    <row r="73" spans="1:23" ht="14.1" customHeight="1">
      <c r="B73" s="517" t="s">
        <v>674</v>
      </c>
      <c r="E73" s="544"/>
      <c r="F73" s="539">
        <f>ROUND(V73,0)</f>
        <v>599</v>
      </c>
      <c r="G73" s="531" t="s">
        <v>673</v>
      </c>
      <c r="H73" s="542">
        <v>570.67999999999995</v>
      </c>
      <c r="I73" s="519">
        <f>411*1.008</f>
        <v>414.28800000000001</v>
      </c>
      <c r="J73" s="519">
        <f>I73*1.017</f>
        <v>421.330896</v>
      </c>
      <c r="K73" s="517">
        <f>ROUND(((1+$K$6)*J73),2)</f>
        <v>433.13</v>
      </c>
      <c r="L73" s="517">
        <f>ROUND(((1+$L$6)*K73),2)</f>
        <v>442.23</v>
      </c>
      <c r="M73" s="517">
        <f>ROUND(((1+$L$6)*L73),2)</f>
        <v>451.52</v>
      </c>
      <c r="N73" s="517">
        <f>ROUND(((1+N$6)*M73),2)</f>
        <v>464.16</v>
      </c>
      <c r="O73" s="517">
        <f>ROUND(((1+O$6)*N73),2)</f>
        <v>475.3</v>
      </c>
      <c r="P73" s="517">
        <f t="shared" si="7"/>
        <v>488.13</v>
      </c>
      <c r="Q73" s="517">
        <f t="shared" si="7"/>
        <v>506.68</v>
      </c>
      <c r="R73" s="517">
        <f t="shared" si="7"/>
        <v>522.89</v>
      </c>
      <c r="S73" s="517">
        <f t="shared" si="7"/>
        <v>543.80999999999995</v>
      </c>
      <c r="T73" s="517">
        <f t="shared" si="7"/>
        <v>549.79</v>
      </c>
      <c r="U73" s="517">
        <f t="shared" si="7"/>
        <v>570.67999999999995</v>
      </c>
      <c r="V73" s="517">
        <f t="shared" si="7"/>
        <v>599.21</v>
      </c>
    </row>
    <row r="74" spans="1:23" ht="14.1" customHeight="1">
      <c r="F74" s="539"/>
      <c r="H74" s="542"/>
      <c r="J74" s="519"/>
    </row>
    <row r="75" spans="1:23" ht="14.1" customHeight="1">
      <c r="A75" s="517" t="s">
        <v>675</v>
      </c>
      <c r="F75" s="539"/>
      <c r="H75" s="550"/>
      <c r="J75" s="519"/>
    </row>
    <row r="76" spans="1:23" ht="14.1" customHeight="1">
      <c r="B76" s="517" t="s">
        <v>669</v>
      </c>
      <c r="E76" s="544"/>
      <c r="F76" s="539" t="s">
        <v>623</v>
      </c>
      <c r="H76" s="542"/>
      <c r="J76" s="519"/>
    </row>
    <row r="77" spans="1:23" ht="14.1" customHeight="1">
      <c r="B77" s="517" t="s">
        <v>676</v>
      </c>
      <c r="E77" s="544"/>
      <c r="F77" s="539">
        <f>F106*2</f>
        <v>300</v>
      </c>
      <c r="G77" s="531" t="s">
        <v>673</v>
      </c>
      <c r="H77" s="542"/>
      <c r="I77" s="519" t="s">
        <v>677</v>
      </c>
      <c r="J77" s="519"/>
      <c r="V77" s="517">
        <f>V106*2</f>
        <v>300.36</v>
      </c>
    </row>
    <row r="78" spans="1:23" ht="14.1" customHeight="1">
      <c r="F78" s="539"/>
      <c r="J78" s="519"/>
    </row>
    <row r="79" spans="1:23" ht="14.1" customHeight="1">
      <c r="A79" s="517" t="s">
        <v>678</v>
      </c>
      <c r="F79" s="539"/>
      <c r="J79" s="519"/>
    </row>
    <row r="80" spans="1:23" ht="14.1" customHeight="1">
      <c r="B80" s="517" t="s">
        <v>679</v>
      </c>
      <c r="E80" s="544"/>
      <c r="F80" s="539">
        <f>ROUND(V80,0)</f>
        <v>22</v>
      </c>
      <c r="G80" s="531" t="s">
        <v>680</v>
      </c>
      <c r="H80" s="542">
        <v>20.83</v>
      </c>
      <c r="I80" s="519">
        <f>15*1.008</f>
        <v>15.120000000000001</v>
      </c>
      <c r="J80" s="519">
        <f>I80*1.017</f>
        <v>15.377039999999999</v>
      </c>
      <c r="K80" s="517">
        <f>ROUND(((1+$K$6)*J80),2)</f>
        <v>15.81</v>
      </c>
      <c r="L80" s="517">
        <f>ROUND(((1+$L$6)*K80),2)</f>
        <v>16.14</v>
      </c>
      <c r="M80" s="517">
        <f>ROUND(((1+$L$6)*L80),2)</f>
        <v>16.48</v>
      </c>
      <c r="N80" s="517">
        <f>ROUND(((1+N$6)*M80),2)</f>
        <v>16.940000000000001</v>
      </c>
      <c r="O80" s="517">
        <f>ROUND(((1+O$6)*N80),2)</f>
        <v>17.350000000000001</v>
      </c>
      <c r="P80" s="517">
        <f t="shared" si="7"/>
        <v>17.82</v>
      </c>
      <c r="Q80" s="517">
        <f t="shared" si="7"/>
        <v>18.5</v>
      </c>
      <c r="R80" s="517">
        <f t="shared" si="7"/>
        <v>19.09</v>
      </c>
      <c r="S80" s="517">
        <f t="shared" si="7"/>
        <v>19.850000000000001</v>
      </c>
      <c r="T80" s="517">
        <f t="shared" si="7"/>
        <v>20.07</v>
      </c>
      <c r="U80" s="517">
        <f t="shared" si="7"/>
        <v>20.83</v>
      </c>
      <c r="V80" s="517">
        <f t="shared" si="7"/>
        <v>21.87</v>
      </c>
    </row>
    <row r="81" spans="1:22" ht="14.1" customHeight="1">
      <c r="B81" s="517" t="s">
        <v>681</v>
      </c>
      <c r="E81" s="544"/>
      <c r="F81" s="539">
        <f>ROUND(V81,0)</f>
        <v>15</v>
      </c>
      <c r="G81" s="531" t="s">
        <v>680</v>
      </c>
      <c r="H81" s="542">
        <v>13.89</v>
      </c>
      <c r="I81" s="519">
        <f>10*1.008</f>
        <v>10.08</v>
      </c>
      <c r="J81" s="519">
        <f>I81*1.017</f>
        <v>10.251359999999998</v>
      </c>
      <c r="K81" s="517">
        <f>ROUND(((1+$K$6)*J81),2)</f>
        <v>10.54</v>
      </c>
      <c r="L81" s="517">
        <f>ROUND(((1+$L$6)*K81),2)</f>
        <v>10.76</v>
      </c>
      <c r="M81" s="517">
        <f>ROUND(((1+$L$6)*L81),2)</f>
        <v>10.99</v>
      </c>
      <c r="N81" s="517">
        <f>ROUND(((1+N$6)*M81),2)</f>
        <v>11.3</v>
      </c>
      <c r="O81" s="517">
        <f>ROUND(((1+O$6)*N81),2)</f>
        <v>11.57</v>
      </c>
      <c r="P81" s="517">
        <f t="shared" si="7"/>
        <v>11.88</v>
      </c>
      <c r="Q81" s="517">
        <f t="shared" si="7"/>
        <v>12.33</v>
      </c>
      <c r="R81" s="517">
        <f t="shared" si="7"/>
        <v>12.72</v>
      </c>
      <c r="S81" s="517">
        <f t="shared" si="7"/>
        <v>13.23</v>
      </c>
      <c r="T81" s="517">
        <f t="shared" si="7"/>
        <v>13.38</v>
      </c>
      <c r="U81" s="517">
        <f t="shared" si="7"/>
        <v>13.89</v>
      </c>
      <c r="V81" s="517">
        <f t="shared" si="7"/>
        <v>14.58</v>
      </c>
    </row>
    <row r="82" spans="1:22" ht="14.1" customHeight="1">
      <c r="F82" s="539"/>
      <c r="J82" s="519"/>
    </row>
    <row r="83" spans="1:22" ht="14.1" customHeight="1">
      <c r="A83" s="517" t="s">
        <v>682</v>
      </c>
      <c r="F83" s="539"/>
      <c r="J83" s="519"/>
    </row>
    <row r="84" spans="1:22" ht="14.1" customHeight="1">
      <c r="B84" s="517" t="s">
        <v>646</v>
      </c>
      <c r="E84" s="544"/>
      <c r="F84" s="539">
        <f>ROUND(V84,0)</f>
        <v>300</v>
      </c>
      <c r="G84" s="531" t="s">
        <v>683</v>
      </c>
      <c r="H84" s="542">
        <v>286.02999999999997</v>
      </c>
      <c r="I84" s="519">
        <v>207.65</v>
      </c>
      <c r="J84" s="519">
        <f>I84*1.017</f>
        <v>211.18004999999999</v>
      </c>
      <c r="K84" s="517">
        <f>ROUND(((1+$K$6)*J84),2)</f>
        <v>217.09</v>
      </c>
      <c r="L84" s="517">
        <f>ROUND(((1+$L$6)*K84),2)</f>
        <v>221.65</v>
      </c>
      <c r="M84" s="517">
        <f>ROUND(((1+$L$6)*L84),2)</f>
        <v>226.3</v>
      </c>
      <c r="N84" s="517">
        <f>ROUND(((1+N$6)*M84),2)</f>
        <v>232.64</v>
      </c>
      <c r="O84" s="517">
        <f>ROUND(((1+O$6)*N84),2)</f>
        <v>238.22</v>
      </c>
      <c r="P84" s="517">
        <f t="shared" si="7"/>
        <v>244.65</v>
      </c>
      <c r="Q84" s="517">
        <f t="shared" si="7"/>
        <v>253.95</v>
      </c>
      <c r="R84" s="517">
        <f t="shared" si="7"/>
        <v>262.08</v>
      </c>
      <c r="S84" s="517">
        <f t="shared" si="7"/>
        <v>272.56</v>
      </c>
      <c r="T84" s="517">
        <f t="shared" si="7"/>
        <v>275.56</v>
      </c>
      <c r="U84" s="517">
        <f t="shared" si="7"/>
        <v>286.02999999999997</v>
      </c>
      <c r="V84" s="517">
        <f t="shared" si="7"/>
        <v>300.33</v>
      </c>
    </row>
    <row r="85" spans="1:22" ht="14.1" customHeight="1">
      <c r="B85" s="517" t="s">
        <v>684</v>
      </c>
      <c r="E85" s="544"/>
      <c r="F85" s="539">
        <f>ROUND(V85,0)</f>
        <v>300</v>
      </c>
      <c r="G85" s="531" t="s">
        <v>683</v>
      </c>
      <c r="H85" s="542">
        <v>286.02999999999997</v>
      </c>
      <c r="I85" s="519">
        <v>207.65</v>
      </c>
      <c r="J85" s="519">
        <f>I85*1.017</f>
        <v>211.18004999999999</v>
      </c>
      <c r="K85" s="517">
        <f>ROUND(((1+$K$6)*J85),2)</f>
        <v>217.09</v>
      </c>
      <c r="L85" s="517">
        <f>ROUND(((1+$L$6)*K85),2)</f>
        <v>221.65</v>
      </c>
      <c r="M85" s="517">
        <f>ROUND(((1+$L$6)*L85),2)</f>
        <v>226.3</v>
      </c>
      <c r="N85" s="517">
        <f>ROUND(((1+N$6)*M85),2)</f>
        <v>232.64</v>
      </c>
      <c r="O85" s="517">
        <f>ROUND(((1+O$6)*N85),2)</f>
        <v>238.22</v>
      </c>
      <c r="P85" s="517">
        <f t="shared" si="7"/>
        <v>244.65</v>
      </c>
      <c r="Q85" s="517">
        <f t="shared" si="7"/>
        <v>253.95</v>
      </c>
      <c r="R85" s="517">
        <f t="shared" si="7"/>
        <v>262.08</v>
      </c>
      <c r="S85" s="517">
        <f t="shared" si="7"/>
        <v>272.56</v>
      </c>
      <c r="T85" s="517">
        <f t="shared" si="7"/>
        <v>275.56</v>
      </c>
      <c r="U85" s="517">
        <f t="shared" si="7"/>
        <v>286.02999999999997</v>
      </c>
      <c r="V85" s="517">
        <f t="shared" si="7"/>
        <v>300.33</v>
      </c>
    </row>
    <row r="86" spans="1:22" ht="14.1" customHeight="1">
      <c r="B86" s="517" t="s">
        <v>685</v>
      </c>
      <c r="E86" s="544"/>
      <c r="F86" s="539">
        <f>ROUND(V86,0)</f>
        <v>300</v>
      </c>
      <c r="G86" s="531" t="s">
        <v>683</v>
      </c>
      <c r="H86" s="542">
        <v>286.02999999999997</v>
      </c>
      <c r="J86" s="519"/>
      <c r="T86" s="517">
        <v>275.56</v>
      </c>
      <c r="U86" s="517">
        <f t="shared" si="7"/>
        <v>286.02999999999997</v>
      </c>
      <c r="V86" s="517">
        <f t="shared" si="7"/>
        <v>300.33</v>
      </c>
    </row>
    <row r="87" spans="1:22" ht="14.1" customHeight="1">
      <c r="B87" s="517" t="s">
        <v>686</v>
      </c>
      <c r="E87" s="544"/>
      <c r="F87" s="539">
        <f>ROUND(V87,0)</f>
        <v>300</v>
      </c>
      <c r="G87" s="531" t="s">
        <v>683</v>
      </c>
      <c r="H87" s="542">
        <v>286.02999999999997</v>
      </c>
      <c r="J87" s="519"/>
      <c r="T87" s="517">
        <v>275.56</v>
      </c>
      <c r="U87" s="517">
        <f t="shared" si="7"/>
        <v>286.02999999999997</v>
      </c>
      <c r="V87" s="517">
        <f t="shared" si="7"/>
        <v>300.33</v>
      </c>
    </row>
    <row r="88" spans="1:22" ht="14.1" customHeight="1">
      <c r="B88" s="517" t="s">
        <v>687</v>
      </c>
      <c r="E88" s="544"/>
      <c r="F88" s="539">
        <f>ROUND(V88,0)</f>
        <v>300</v>
      </c>
      <c r="G88" s="531" t="s">
        <v>683</v>
      </c>
      <c r="H88" s="542">
        <v>286.02999999999997</v>
      </c>
      <c r="J88" s="519"/>
      <c r="T88" s="517">
        <v>275.56</v>
      </c>
      <c r="U88" s="517">
        <f t="shared" si="7"/>
        <v>286.02999999999997</v>
      </c>
      <c r="V88" s="517">
        <f t="shared" si="7"/>
        <v>300.33</v>
      </c>
    </row>
    <row r="89" spans="1:22" ht="14.1" customHeight="1">
      <c r="F89" s="539"/>
      <c r="J89" s="519"/>
    </row>
    <row r="90" spans="1:22" ht="14.1" customHeight="1">
      <c r="F90" s="551"/>
      <c r="J90" s="519"/>
    </row>
    <row r="91" spans="1:22" ht="14.1" customHeight="1">
      <c r="A91" s="521"/>
      <c r="B91" s="521"/>
      <c r="C91" s="521"/>
      <c r="D91" s="521"/>
      <c r="E91" s="521"/>
      <c r="F91" s="539"/>
      <c r="G91" s="552"/>
      <c r="J91" s="519"/>
    </row>
    <row r="92" spans="1:22" ht="14.1" customHeight="1">
      <c r="A92" s="517" t="s">
        <v>688</v>
      </c>
      <c r="F92" s="539"/>
      <c r="J92" s="519"/>
    </row>
    <row r="93" spans="1:22" ht="14.1" customHeight="1">
      <c r="B93" s="517" t="s">
        <v>689</v>
      </c>
      <c r="F93" s="539"/>
      <c r="J93" s="519"/>
    </row>
    <row r="94" spans="1:22" ht="14.1" customHeight="1">
      <c r="B94" s="517" t="s">
        <v>690</v>
      </c>
      <c r="F94" s="539"/>
      <c r="J94" s="519"/>
    </row>
    <row r="95" spans="1:22" ht="14.1" customHeight="1">
      <c r="B95" s="517" t="s">
        <v>691</v>
      </c>
      <c r="F95" s="539"/>
      <c r="J95" s="519"/>
    </row>
    <row r="96" spans="1:22" ht="14.1" customHeight="1">
      <c r="F96" s="539"/>
      <c r="J96" s="519"/>
    </row>
    <row r="97" spans="1:22" ht="14.1" customHeight="1">
      <c r="A97" s="517" t="s">
        <v>692</v>
      </c>
      <c r="F97" s="539"/>
      <c r="J97" s="519"/>
    </row>
    <row r="98" spans="1:22" ht="14.1" customHeight="1">
      <c r="B98" s="517" t="s">
        <v>693</v>
      </c>
      <c r="F98" s="539"/>
      <c r="J98" s="519"/>
    </row>
    <row r="99" spans="1:22" ht="15.75" customHeight="1">
      <c r="B99" s="517" t="s">
        <v>694</v>
      </c>
      <c r="F99" s="539"/>
      <c r="J99" s="519"/>
    </row>
    <row r="100" spans="1:22" ht="14.1" customHeight="1">
      <c r="B100" s="517" t="s">
        <v>695</v>
      </c>
      <c r="F100" s="539"/>
      <c r="J100" s="519"/>
    </row>
    <row r="101" spans="1:22" ht="14.1" customHeight="1">
      <c r="F101" s="539"/>
      <c r="J101" s="519"/>
    </row>
    <row r="102" spans="1:22" ht="14.1" customHeight="1">
      <c r="A102" s="517" t="s">
        <v>232</v>
      </c>
      <c r="F102" s="539"/>
      <c r="J102" s="519"/>
    </row>
    <row r="103" spans="1:22" ht="14.1" customHeight="1">
      <c r="B103" s="517" t="s">
        <v>696</v>
      </c>
      <c r="F103" s="539"/>
      <c r="J103" s="519"/>
    </row>
    <row r="104" spans="1:22" ht="14.1" customHeight="1">
      <c r="B104" s="517" t="s">
        <v>697</v>
      </c>
      <c r="F104" s="539"/>
      <c r="J104" s="519"/>
    </row>
    <row r="105" spans="1:22" ht="14.1" customHeight="1">
      <c r="C105" s="517" t="s">
        <v>698</v>
      </c>
      <c r="E105" s="544"/>
      <c r="F105" s="539">
        <f>ROUND(V105,0)</f>
        <v>220</v>
      </c>
      <c r="G105" s="531" t="s">
        <v>635</v>
      </c>
      <c r="H105" s="542">
        <v>209.64</v>
      </c>
      <c r="I105" s="519">
        <f>151*1.008</f>
        <v>152.208</v>
      </c>
      <c r="J105" s="519">
        <f>I105*1.017</f>
        <v>154.79553599999997</v>
      </c>
      <c r="K105" s="517">
        <f>ROUND(((1+$K$6)*J105),2)</f>
        <v>159.13</v>
      </c>
      <c r="L105" s="517">
        <f t="shared" ref="L105:M107" si="9">ROUND(((1+$L$6)*K105),2)</f>
        <v>162.47</v>
      </c>
      <c r="M105" s="517">
        <f t="shared" si="9"/>
        <v>165.88</v>
      </c>
      <c r="N105" s="517">
        <f t="shared" ref="N105:O107" si="10">ROUND(((1+N$6)*M105),2)</f>
        <v>170.52</v>
      </c>
      <c r="O105" s="517">
        <f t="shared" si="10"/>
        <v>174.61</v>
      </c>
      <c r="P105" s="517">
        <f t="shared" si="7"/>
        <v>179.32</v>
      </c>
      <c r="Q105" s="517">
        <f t="shared" si="7"/>
        <v>186.13</v>
      </c>
      <c r="R105" s="517">
        <f t="shared" si="7"/>
        <v>192.09</v>
      </c>
      <c r="S105" s="517">
        <f t="shared" si="7"/>
        <v>199.77</v>
      </c>
      <c r="T105" s="517">
        <f t="shared" si="7"/>
        <v>201.97</v>
      </c>
      <c r="U105" s="517">
        <f t="shared" si="7"/>
        <v>209.64</v>
      </c>
      <c r="V105" s="517">
        <f t="shared" si="7"/>
        <v>220.12</v>
      </c>
    </row>
    <row r="106" spans="1:22" ht="14.1" customHeight="1">
      <c r="C106" s="517" t="s">
        <v>699</v>
      </c>
      <c r="E106" s="544"/>
      <c r="F106" s="539">
        <f>ROUND(V106,0)</f>
        <v>150</v>
      </c>
      <c r="G106" s="531" t="s">
        <v>635</v>
      </c>
      <c r="H106" s="542">
        <v>143.03</v>
      </c>
      <c r="I106" s="519">
        <f>103*1.008</f>
        <v>103.824</v>
      </c>
      <c r="J106" s="519">
        <f>I106*1.017</f>
        <v>105.58900799999999</v>
      </c>
      <c r="K106" s="517">
        <f>ROUND(((1+$K$6)*J106),2)</f>
        <v>108.55</v>
      </c>
      <c r="L106" s="517">
        <f t="shared" si="9"/>
        <v>110.83</v>
      </c>
      <c r="M106" s="517">
        <f t="shared" si="9"/>
        <v>113.16</v>
      </c>
      <c r="N106" s="517">
        <f t="shared" si="10"/>
        <v>116.33</v>
      </c>
      <c r="O106" s="517">
        <f t="shared" si="10"/>
        <v>119.12</v>
      </c>
      <c r="P106" s="517">
        <f t="shared" si="7"/>
        <v>122.34</v>
      </c>
      <c r="Q106" s="517">
        <f t="shared" si="7"/>
        <v>126.99</v>
      </c>
      <c r="R106" s="517">
        <f t="shared" si="7"/>
        <v>131.05000000000001</v>
      </c>
      <c r="S106" s="517">
        <f t="shared" si="7"/>
        <v>136.29</v>
      </c>
      <c r="T106" s="517">
        <f t="shared" si="7"/>
        <v>137.79</v>
      </c>
      <c r="U106" s="517">
        <f t="shared" si="7"/>
        <v>143.03</v>
      </c>
      <c r="V106" s="517">
        <f t="shared" si="7"/>
        <v>150.18</v>
      </c>
    </row>
    <row r="107" spans="1:22" ht="14.1" customHeight="1">
      <c r="C107" s="517" t="s">
        <v>700</v>
      </c>
      <c r="E107" s="544"/>
      <c r="F107" s="539">
        <f>ROUND(V107,0)</f>
        <v>201</v>
      </c>
      <c r="G107" s="531" t="s">
        <v>635</v>
      </c>
      <c r="H107" s="542">
        <v>191.6</v>
      </c>
      <c r="I107" s="519">
        <f>138*1.008</f>
        <v>139.10400000000001</v>
      </c>
      <c r="J107" s="519">
        <f>I107*1.017</f>
        <v>141.46876800000001</v>
      </c>
      <c r="K107" s="517">
        <f>ROUND(((1+$K$6)*J107),2)</f>
        <v>145.43</v>
      </c>
      <c r="L107" s="517">
        <f t="shared" si="9"/>
        <v>148.47999999999999</v>
      </c>
      <c r="M107" s="517">
        <f t="shared" si="9"/>
        <v>151.6</v>
      </c>
      <c r="N107" s="517">
        <f t="shared" si="10"/>
        <v>155.84</v>
      </c>
      <c r="O107" s="517">
        <f t="shared" si="10"/>
        <v>159.58000000000001</v>
      </c>
      <c r="P107" s="517">
        <f t="shared" si="7"/>
        <v>163.89</v>
      </c>
      <c r="Q107" s="517">
        <f t="shared" si="7"/>
        <v>170.12</v>
      </c>
      <c r="R107" s="517">
        <f t="shared" si="7"/>
        <v>175.56</v>
      </c>
      <c r="S107" s="517">
        <f t="shared" si="7"/>
        <v>182.58</v>
      </c>
      <c r="T107" s="517">
        <f t="shared" si="7"/>
        <v>184.59</v>
      </c>
      <c r="U107" s="517">
        <f t="shared" si="7"/>
        <v>191.6</v>
      </c>
      <c r="V107" s="517">
        <f t="shared" si="7"/>
        <v>201.18</v>
      </c>
    </row>
  </sheetData>
  <dataConsolidate/>
  <mergeCells count="1">
    <mergeCell ref="F1:G2"/>
  </mergeCells>
  <pageMargins left="0.5" right="0.5" top="0.5" bottom="0.5" header="0.25" footer="0.25"/>
  <pageSetup pageOrder="overThenDown" orientation="portrait" r:id="rId1"/>
  <headerFooter>
    <oddFooter>&amp;R&amp;"Arial,Regular"&amp;10&amp;A, &amp;P of &amp;N</oddFooter>
  </headerFooter>
  <rowBreaks count="1" manualBreakCount="1">
    <brk id="49" max="16383" man="1"/>
  </rowBreaks>
  <legacy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E93228-97FE-464C-8928-903CC575C8EA}">
  <dimension ref="A1:W124"/>
  <sheetViews>
    <sheetView topLeftCell="A49" zoomScaleNormal="100" workbookViewId="0">
      <selection activeCell="D56" sqref="D56"/>
    </sheetView>
  </sheetViews>
  <sheetFormatPr defaultColWidth="13.5" defaultRowHeight="14.1" customHeight="1"/>
  <cols>
    <col min="1" max="3" width="3.33203125" style="517" customWidth="1"/>
    <col min="4" max="4" width="46.6640625" style="517" customWidth="1"/>
    <col min="5" max="5" width="1" style="517" customWidth="1"/>
    <col min="6" max="6" width="10.33203125" style="548" bestFit="1" customWidth="1"/>
    <col min="7" max="7" width="42.5" style="531" customWidth="1"/>
    <col min="8" max="8" width="18" style="531" customWidth="1"/>
    <col min="9" max="9" width="9.33203125" style="519" bestFit="1" customWidth="1"/>
    <col min="10" max="10" width="7.6640625" style="517" bestFit="1" customWidth="1"/>
    <col min="11" max="11" width="7" style="517" bestFit="1" customWidth="1"/>
    <col min="12" max="12" width="8.33203125" style="517" bestFit="1" customWidth="1"/>
    <col min="13" max="13" width="9.1640625" style="517" bestFit="1" customWidth="1"/>
    <col min="14" max="15" width="13.6640625" style="517" bestFit="1" customWidth="1"/>
    <col min="16" max="16384" width="13.5" style="517"/>
  </cols>
  <sheetData>
    <row r="1" spans="1:23" ht="12" customHeight="1">
      <c r="A1" s="516" t="s">
        <v>9</v>
      </c>
      <c r="E1" s="518"/>
      <c r="F1" s="927" t="s">
        <v>701</v>
      </c>
      <c r="G1" s="927"/>
      <c r="H1" s="553"/>
    </row>
    <row r="2" spans="1:23" ht="12" customHeight="1">
      <c r="A2" s="516" t="str">
        <f>'[2]I. Administration'!$A$2</f>
        <v xml:space="preserve">Master Fee Schedule, 2022-2023 </v>
      </c>
      <c r="E2" s="518"/>
      <c r="F2" s="927"/>
      <c r="G2" s="927"/>
      <c r="H2" s="553"/>
    </row>
    <row r="3" spans="1:23" ht="14.1" customHeight="1">
      <c r="F3" s="517"/>
      <c r="G3" s="517"/>
      <c r="H3" s="517" t="s">
        <v>605</v>
      </c>
    </row>
    <row r="4" spans="1:23" ht="14.1" customHeight="1">
      <c r="A4" s="521"/>
      <c r="B4" s="521"/>
      <c r="C4" s="521"/>
      <c r="D4" s="521"/>
      <c r="E4" s="521"/>
      <c r="F4" s="521"/>
      <c r="G4" s="521"/>
      <c r="H4" s="517"/>
      <c r="M4" s="517" t="s">
        <v>702</v>
      </c>
      <c r="N4" s="517" t="s">
        <v>703</v>
      </c>
      <c r="O4" s="517" t="s">
        <v>704</v>
      </c>
      <c r="P4" s="517" t="s">
        <v>705</v>
      </c>
      <c r="Q4" s="517" t="s">
        <v>705</v>
      </c>
      <c r="R4" s="517" t="s">
        <v>705</v>
      </c>
    </row>
    <row r="5" spans="1:23" ht="14.1" customHeight="1">
      <c r="A5" s="523" t="s">
        <v>606</v>
      </c>
      <c r="B5" s="523"/>
      <c r="C5" s="523"/>
      <c r="D5" s="523"/>
      <c r="F5" s="554" t="s">
        <v>607</v>
      </c>
      <c r="G5" s="525"/>
      <c r="H5" s="545"/>
      <c r="I5" s="526" t="s">
        <v>608</v>
      </c>
      <c r="J5" s="527" t="s">
        <v>609</v>
      </c>
      <c r="K5" s="527" t="s">
        <v>610</v>
      </c>
      <c r="L5" s="528" t="s">
        <v>611</v>
      </c>
      <c r="M5" s="528">
        <v>41456</v>
      </c>
      <c r="N5" s="529">
        <v>41821</v>
      </c>
      <c r="O5" s="529">
        <f>'[2]I. Administration'!O5</f>
        <v>42186</v>
      </c>
      <c r="P5" s="529">
        <v>42552</v>
      </c>
      <c r="Q5" s="529">
        <v>42917</v>
      </c>
      <c r="R5" s="529">
        <v>43282</v>
      </c>
      <c r="S5" s="529">
        <v>43647</v>
      </c>
      <c r="T5" s="529">
        <v>44013</v>
      </c>
      <c r="U5" s="529">
        <v>44384</v>
      </c>
      <c r="V5" s="529">
        <v>44763</v>
      </c>
      <c r="W5" s="529"/>
    </row>
    <row r="6" spans="1:23" ht="14.1" customHeight="1">
      <c r="H6" s="532"/>
      <c r="I6" s="533">
        <v>8.0000000000000002E-3</v>
      </c>
      <c r="J6" s="533">
        <v>1.7000000000000001E-2</v>
      </c>
      <c r="K6" s="533">
        <v>2.8000000000000001E-2</v>
      </c>
      <c r="L6" s="533">
        <v>2.1000000000000001E-2</v>
      </c>
      <c r="M6" s="533">
        <v>2.3800000000000002E-2</v>
      </c>
      <c r="N6" s="534">
        <v>2.8000000000000001E-2</v>
      </c>
      <c r="O6" s="534">
        <f>'[2]I. Administration'!$O$6</f>
        <v>2.4E-2</v>
      </c>
      <c r="P6" s="533">
        <v>2.7E-2</v>
      </c>
      <c r="Q6" s="533">
        <v>3.7999999999999999E-2</v>
      </c>
      <c r="R6" s="533">
        <f>'[2]I. Administration'!R6</f>
        <v>3.2000000000000001E-2</v>
      </c>
      <c r="S6" s="533">
        <f>'[2]I. Administration'!S6</f>
        <v>0.04</v>
      </c>
      <c r="T6" s="533">
        <f>'[2]I. Administration'!T6</f>
        <v>1.0999999999999999E-2</v>
      </c>
      <c r="U6" s="533">
        <v>3.7999999999999999E-2</v>
      </c>
      <c r="V6" s="535">
        <v>0.05</v>
      </c>
    </row>
    <row r="7" spans="1:23" ht="14.1" customHeight="1">
      <c r="A7" s="517" t="s">
        <v>706</v>
      </c>
    </row>
    <row r="8" spans="1:23" ht="14.1" customHeight="1">
      <c r="B8" s="517" t="s">
        <v>707</v>
      </c>
      <c r="F8" s="548">
        <v>0</v>
      </c>
      <c r="G8" s="531" t="s">
        <v>708</v>
      </c>
      <c r="H8" s="555">
        <v>0</v>
      </c>
      <c r="J8" s="519"/>
    </row>
    <row r="9" spans="1:23" ht="14.1" customHeight="1">
      <c r="B9" s="517" t="s">
        <v>709</v>
      </c>
      <c r="E9" s="544"/>
      <c r="F9" s="548">
        <f>F112</f>
        <v>125</v>
      </c>
      <c r="G9" s="531" t="s">
        <v>635</v>
      </c>
      <c r="H9" s="555">
        <f>H112</f>
        <v>119.41</v>
      </c>
      <c r="I9" s="519">
        <f>65*1.008</f>
        <v>65.52</v>
      </c>
      <c r="J9" s="519">
        <f>I9*1.017</f>
        <v>66.633839999999992</v>
      </c>
      <c r="K9" s="517">
        <f>ROUND(((1+$K$6)*J9),2)</f>
        <v>68.5</v>
      </c>
      <c r="L9" s="517">
        <f>ROUND(((1+$L$6)*K9),2)</f>
        <v>69.94</v>
      </c>
      <c r="M9" s="517">
        <f>ROUND(((1+$L$6)*L9),2)</f>
        <v>71.41</v>
      </c>
      <c r="N9" s="517">
        <f>ROUND(((1+N$6)*M9),2)</f>
        <v>73.41</v>
      </c>
      <c r="O9" s="517">
        <f>ROUND(((1+O$6)*N9),2)</f>
        <v>75.17</v>
      </c>
      <c r="P9" s="517">
        <f>ROUND(((1+P$6)*O9),2)</f>
        <v>77.2</v>
      </c>
      <c r="Q9" s="517">
        <f>ROUND(((1+Q$6)*P9),2)</f>
        <v>80.13</v>
      </c>
      <c r="R9" s="517">
        <f>ROUND(((1+R$6)*Q9),2)</f>
        <v>82.69</v>
      </c>
      <c r="S9" s="556"/>
      <c r="T9" s="556"/>
      <c r="U9" s="556"/>
      <c r="V9" s="556"/>
      <c r="W9" s="517" t="s">
        <v>710</v>
      </c>
    </row>
    <row r="10" spans="1:23" ht="14.1" customHeight="1">
      <c r="B10" s="517" t="s">
        <v>711</v>
      </c>
      <c r="E10" s="544"/>
      <c r="F10" s="548">
        <f>ROUND($V10,0)</f>
        <v>163</v>
      </c>
      <c r="G10" s="531" t="s">
        <v>712</v>
      </c>
      <c r="H10" s="555">
        <f>U10</f>
        <v>155.69999999999999</v>
      </c>
      <c r="J10" s="519"/>
      <c r="S10" s="517">
        <v>327</v>
      </c>
      <c r="T10" s="517">
        <v>150</v>
      </c>
      <c r="U10" s="517">
        <f t="shared" ref="U10:V10" si="0">ROUND(((1+U$6)*T10),2)</f>
        <v>155.69999999999999</v>
      </c>
      <c r="V10" s="517">
        <f t="shared" si="0"/>
        <v>163.49</v>
      </c>
      <c r="W10" s="517" t="s">
        <v>713</v>
      </c>
    </row>
    <row r="11" spans="1:23" ht="14.1" customHeight="1">
      <c r="H11" s="555"/>
      <c r="J11" s="519"/>
    </row>
    <row r="12" spans="1:23" ht="14.1" customHeight="1">
      <c r="A12" s="517" t="s">
        <v>714</v>
      </c>
      <c r="H12" s="555"/>
      <c r="J12" s="519"/>
    </row>
    <row r="13" spans="1:23" ht="14.1" customHeight="1">
      <c r="B13" s="517" t="s">
        <v>715</v>
      </c>
      <c r="F13" s="557" t="s">
        <v>716</v>
      </c>
      <c r="H13" s="555" t="s">
        <v>716</v>
      </c>
      <c r="J13" s="519"/>
    </row>
    <row r="14" spans="1:23" ht="14.1" customHeight="1">
      <c r="B14" s="517" t="s">
        <v>717</v>
      </c>
      <c r="E14" s="544"/>
      <c r="F14" s="548">
        <f>ROUND($V14,0)</f>
        <v>51</v>
      </c>
      <c r="G14" s="531" t="s">
        <v>718</v>
      </c>
      <c r="H14" s="555">
        <f>U14</f>
        <v>48.59</v>
      </c>
      <c r="I14" s="519">
        <f>35*1.008</f>
        <v>35.28</v>
      </c>
      <c r="J14" s="519">
        <f>I14*1.017</f>
        <v>35.879759999999997</v>
      </c>
      <c r="K14" s="517">
        <f>ROUND(((1+$K$6)*J14),2)</f>
        <v>36.880000000000003</v>
      </c>
      <c r="L14" s="517">
        <f>ROUND(((1+$L$6)*K14),2)</f>
        <v>37.65</v>
      </c>
      <c r="M14" s="517">
        <f>ROUND(((1+$L$6)*L14),2)</f>
        <v>38.44</v>
      </c>
      <c r="N14" s="517">
        <f>ROUND(((1+N$6)*M14),2)</f>
        <v>39.520000000000003</v>
      </c>
      <c r="O14" s="517">
        <f>ROUND(((1+O$6)*N14),2)</f>
        <v>40.47</v>
      </c>
      <c r="P14" s="517">
        <f t="shared" ref="P14:V77" si="1">ROUND(((1+P$6)*O14),2)</f>
        <v>41.56</v>
      </c>
      <c r="Q14" s="517">
        <f t="shared" si="1"/>
        <v>43.14</v>
      </c>
      <c r="R14" s="517">
        <f t="shared" si="1"/>
        <v>44.52</v>
      </c>
      <c r="S14" s="517">
        <f t="shared" si="1"/>
        <v>46.3</v>
      </c>
      <c r="T14" s="517">
        <f t="shared" si="1"/>
        <v>46.81</v>
      </c>
      <c r="U14" s="517">
        <f t="shared" si="1"/>
        <v>48.59</v>
      </c>
      <c r="V14" s="517">
        <f t="shared" si="1"/>
        <v>51.02</v>
      </c>
    </row>
    <row r="15" spans="1:23" ht="14.1" customHeight="1">
      <c r="H15" s="555"/>
      <c r="J15" s="519"/>
    </row>
    <row r="16" spans="1:23" ht="14.1" customHeight="1">
      <c r="A16" s="517" t="s">
        <v>719</v>
      </c>
      <c r="H16" s="555"/>
      <c r="J16" s="519"/>
    </row>
    <row r="17" spans="1:23" ht="14.1" customHeight="1">
      <c r="B17" s="517" t="s">
        <v>715</v>
      </c>
      <c r="F17" s="557" t="s">
        <v>716</v>
      </c>
      <c r="H17" s="555" t="s">
        <v>716</v>
      </c>
      <c r="J17" s="519"/>
    </row>
    <row r="18" spans="1:23" ht="14.1" customHeight="1">
      <c r="B18" s="517" t="s">
        <v>720</v>
      </c>
      <c r="E18" s="544"/>
      <c r="F18" s="548">
        <f t="shared" ref="F18:F19" si="2">ROUND($V18,0)</f>
        <v>51</v>
      </c>
      <c r="G18" s="531" t="s">
        <v>721</v>
      </c>
      <c r="H18" s="555">
        <f>U18</f>
        <v>48.59</v>
      </c>
      <c r="I18" s="519">
        <f>35*1.008</f>
        <v>35.28</v>
      </c>
      <c r="J18" s="519">
        <f>I18*1.017</f>
        <v>35.879759999999997</v>
      </c>
      <c r="K18" s="517">
        <f>ROUND(((1+$K$6)*J18),2)</f>
        <v>36.880000000000003</v>
      </c>
      <c r="L18" s="517">
        <f>ROUND(((1+$L$6)*K18),2)</f>
        <v>37.65</v>
      </c>
      <c r="M18" s="517">
        <f>ROUND(((1+$L$6)*L18),2)</f>
        <v>38.44</v>
      </c>
      <c r="N18" s="517">
        <f>ROUND(((1+N$6)*M18),2)</f>
        <v>39.520000000000003</v>
      </c>
      <c r="O18" s="517">
        <f>ROUND(((1+O$6)*N18),2)</f>
        <v>40.47</v>
      </c>
      <c r="P18" s="517">
        <f t="shared" si="1"/>
        <v>41.56</v>
      </c>
      <c r="Q18" s="517">
        <f t="shared" si="1"/>
        <v>43.14</v>
      </c>
      <c r="R18" s="517">
        <f t="shared" si="1"/>
        <v>44.52</v>
      </c>
      <c r="S18" s="517">
        <f t="shared" si="1"/>
        <v>46.3</v>
      </c>
      <c r="T18" s="517">
        <f t="shared" si="1"/>
        <v>46.81</v>
      </c>
      <c r="U18" s="517">
        <f t="shared" si="1"/>
        <v>48.59</v>
      </c>
      <c r="V18" s="517">
        <f t="shared" si="1"/>
        <v>51.02</v>
      </c>
    </row>
    <row r="19" spans="1:23" ht="14.1" customHeight="1">
      <c r="B19" s="517" t="s">
        <v>722</v>
      </c>
      <c r="E19" s="544"/>
      <c r="F19" s="548">
        <f t="shared" si="2"/>
        <v>51</v>
      </c>
      <c r="G19" s="531" t="s">
        <v>721</v>
      </c>
      <c r="H19" s="555">
        <f>U19</f>
        <v>48.59</v>
      </c>
      <c r="I19" s="519">
        <f>35*1.008</f>
        <v>35.28</v>
      </c>
      <c r="J19" s="519">
        <f>I19*1.017</f>
        <v>35.879759999999997</v>
      </c>
      <c r="K19" s="517">
        <f>ROUND(((1+$K$6)*J19),2)</f>
        <v>36.880000000000003</v>
      </c>
      <c r="L19" s="517">
        <f>ROUND(((1+$L$6)*K19),2)</f>
        <v>37.65</v>
      </c>
      <c r="M19" s="517">
        <f>ROUND(((1+$L$6)*L19),2)</f>
        <v>38.44</v>
      </c>
      <c r="N19" s="517">
        <f>ROUND(((1+N$6)*M19),2)</f>
        <v>39.520000000000003</v>
      </c>
      <c r="O19" s="517">
        <f>ROUND(((1+O$6)*N19),2)</f>
        <v>40.47</v>
      </c>
      <c r="P19" s="517">
        <f t="shared" si="1"/>
        <v>41.56</v>
      </c>
      <c r="Q19" s="517">
        <f t="shared" si="1"/>
        <v>43.14</v>
      </c>
      <c r="R19" s="517">
        <f t="shared" si="1"/>
        <v>44.52</v>
      </c>
      <c r="S19" s="517">
        <f t="shared" si="1"/>
        <v>46.3</v>
      </c>
      <c r="T19" s="517">
        <f t="shared" si="1"/>
        <v>46.81</v>
      </c>
      <c r="U19" s="517">
        <f t="shared" si="1"/>
        <v>48.59</v>
      </c>
      <c r="V19" s="517">
        <f t="shared" si="1"/>
        <v>51.02</v>
      </c>
    </row>
    <row r="20" spans="1:23" ht="14.1" customHeight="1">
      <c r="H20" s="555"/>
      <c r="J20" s="519"/>
    </row>
    <row r="21" spans="1:23" ht="14.1" customHeight="1">
      <c r="A21" s="517" t="s">
        <v>723</v>
      </c>
      <c r="E21" s="544"/>
      <c r="F21" s="548">
        <f>F112</f>
        <v>125</v>
      </c>
      <c r="G21" s="531" t="s">
        <v>724</v>
      </c>
      <c r="H21" s="555">
        <f>H112</f>
        <v>119.41</v>
      </c>
      <c r="I21" s="519">
        <f>105*1.008</f>
        <v>105.84</v>
      </c>
      <c r="J21" s="519">
        <f>I21*1.017</f>
        <v>107.63928</v>
      </c>
      <c r="K21" s="517">
        <f>ROUND(((1+$K$6)*J21),2)</f>
        <v>110.65</v>
      </c>
      <c r="L21" s="517">
        <f>ROUND(((1+$L$6)*K21),2)</f>
        <v>112.97</v>
      </c>
      <c r="M21" s="517">
        <f>ROUND(((1+$L$6)*L21),2)</f>
        <v>115.34</v>
      </c>
      <c r="N21" s="517">
        <f>ROUND(((1+N$6)*M21),2)</f>
        <v>118.57</v>
      </c>
      <c r="O21" s="517">
        <f>ROUND(((1+O$6)*N21),2)</f>
        <v>121.42</v>
      </c>
      <c r="P21" s="517">
        <f t="shared" si="1"/>
        <v>124.7</v>
      </c>
      <c r="Q21" s="517">
        <f t="shared" si="1"/>
        <v>129.44</v>
      </c>
      <c r="R21" s="517">
        <f t="shared" si="1"/>
        <v>133.58000000000001</v>
      </c>
      <c r="S21" s="517">
        <f t="shared" si="1"/>
        <v>138.91999999999999</v>
      </c>
      <c r="T21" s="556"/>
      <c r="U21" s="556"/>
      <c r="V21" s="556"/>
      <c r="W21" s="517" t="s">
        <v>725</v>
      </c>
    </row>
    <row r="22" spans="1:23" ht="14.1" customHeight="1">
      <c r="G22" s="531" t="s">
        <v>726</v>
      </c>
      <c r="H22" s="555"/>
      <c r="J22" s="519"/>
    </row>
    <row r="23" spans="1:23" ht="14.1" customHeight="1">
      <c r="A23" s="517" t="s">
        <v>727</v>
      </c>
      <c r="H23" s="555"/>
      <c r="J23" s="519"/>
    </row>
    <row r="24" spans="1:23" ht="14.1" customHeight="1">
      <c r="B24" s="517" t="s">
        <v>728</v>
      </c>
      <c r="F24" s="548">
        <v>0</v>
      </c>
      <c r="G24" s="531" t="s">
        <v>729</v>
      </c>
      <c r="H24" s="555">
        <v>0</v>
      </c>
      <c r="J24" s="519"/>
      <c r="W24" s="517" t="s">
        <v>730</v>
      </c>
    </row>
    <row r="25" spans="1:23" ht="14.1" customHeight="1">
      <c r="B25" s="517" t="s">
        <v>731</v>
      </c>
      <c r="E25" s="544"/>
      <c r="F25" s="548">
        <f t="shared" ref="F25:F26" si="3">ROUND($V25,0)</f>
        <v>267</v>
      </c>
      <c r="G25" s="531" t="s">
        <v>732</v>
      </c>
      <c r="H25" s="555">
        <f>U25</f>
        <v>254.08</v>
      </c>
      <c r="I25" s="519">
        <f>183*1.008</f>
        <v>184.464</v>
      </c>
      <c r="J25" s="519">
        <f>I25*1.017</f>
        <v>187.59988799999999</v>
      </c>
      <c r="K25" s="517">
        <f>ROUND(((1+$K$6)*J25),2)</f>
        <v>192.85</v>
      </c>
      <c r="L25" s="517">
        <f>ROUND(((1+$L$6)*K25),2)</f>
        <v>196.9</v>
      </c>
      <c r="M25" s="517">
        <f>ROUND(((1+$L$6)*L25),2)</f>
        <v>201.03</v>
      </c>
      <c r="N25" s="517">
        <f>ROUND(((1+N$6)*M25),2)</f>
        <v>206.66</v>
      </c>
      <c r="O25" s="517">
        <f>ROUND(((1+O$6)*N25),2)</f>
        <v>211.62</v>
      </c>
      <c r="P25" s="517">
        <f t="shared" si="1"/>
        <v>217.33</v>
      </c>
      <c r="Q25" s="517">
        <f t="shared" si="1"/>
        <v>225.59</v>
      </c>
      <c r="R25" s="517">
        <f t="shared" si="1"/>
        <v>232.81</v>
      </c>
      <c r="S25" s="517">
        <f t="shared" si="1"/>
        <v>242.12</v>
      </c>
      <c r="T25" s="517">
        <f t="shared" si="1"/>
        <v>244.78</v>
      </c>
      <c r="U25" s="517">
        <f t="shared" si="1"/>
        <v>254.08</v>
      </c>
      <c r="V25" s="517">
        <f t="shared" si="1"/>
        <v>266.77999999999997</v>
      </c>
    </row>
    <row r="26" spans="1:23" ht="14.1" customHeight="1">
      <c r="B26" s="517" t="s">
        <v>733</v>
      </c>
      <c r="E26" s="544"/>
      <c r="F26" s="548">
        <f t="shared" si="3"/>
        <v>267</v>
      </c>
      <c r="G26" s="531" t="s">
        <v>732</v>
      </c>
      <c r="H26" s="555">
        <f>U26</f>
        <v>254.08</v>
      </c>
      <c r="I26" s="519">
        <f>183*1.008</f>
        <v>184.464</v>
      </c>
      <c r="J26" s="519">
        <f>I26*1.017</f>
        <v>187.59988799999999</v>
      </c>
      <c r="K26" s="517">
        <f>ROUND(((1+$K$6)*J26),2)</f>
        <v>192.85</v>
      </c>
      <c r="L26" s="517">
        <f>ROUND(((1+$L$6)*K26),2)</f>
        <v>196.9</v>
      </c>
      <c r="M26" s="517">
        <f>ROUND(((1+$L$6)*L26),2)</f>
        <v>201.03</v>
      </c>
      <c r="N26" s="517">
        <f>ROUND(((1+N$6)*M26),2)</f>
        <v>206.66</v>
      </c>
      <c r="O26" s="517">
        <f>ROUND(((1+O$6)*N26),2)</f>
        <v>211.62</v>
      </c>
      <c r="P26" s="517">
        <f t="shared" si="1"/>
        <v>217.33</v>
      </c>
      <c r="Q26" s="517">
        <f t="shared" si="1"/>
        <v>225.59</v>
      </c>
      <c r="R26" s="517">
        <f t="shared" si="1"/>
        <v>232.81</v>
      </c>
      <c r="S26" s="517">
        <f t="shared" si="1"/>
        <v>242.12</v>
      </c>
      <c r="T26" s="517">
        <f t="shared" si="1"/>
        <v>244.78</v>
      </c>
      <c r="U26" s="517">
        <f t="shared" si="1"/>
        <v>254.08</v>
      </c>
      <c r="V26" s="517">
        <f t="shared" si="1"/>
        <v>266.77999999999997</v>
      </c>
    </row>
    <row r="27" spans="1:23" ht="14.1" customHeight="1">
      <c r="H27" s="555"/>
      <c r="J27" s="519"/>
    </row>
    <row r="28" spans="1:23" ht="14.1" customHeight="1">
      <c r="A28" s="517" t="s">
        <v>734</v>
      </c>
      <c r="E28" s="544"/>
      <c r="F28" s="548">
        <f>ROUND($V28,0)</f>
        <v>22</v>
      </c>
      <c r="G28" s="531" t="s">
        <v>721</v>
      </c>
      <c r="H28" s="555">
        <f>U28</f>
        <v>20.83</v>
      </c>
      <c r="I28" s="519">
        <f>15*1.008</f>
        <v>15.120000000000001</v>
      </c>
      <c r="J28" s="519">
        <f>I28*1.017</f>
        <v>15.377039999999999</v>
      </c>
      <c r="K28" s="517">
        <f>ROUND(((1+$K$6)*J28),2)</f>
        <v>15.81</v>
      </c>
      <c r="L28" s="517">
        <f>ROUND(((1+$L$6)*K28),2)</f>
        <v>16.14</v>
      </c>
      <c r="M28" s="517">
        <f>ROUND(((1+$L$6)*L28),2)</f>
        <v>16.48</v>
      </c>
      <c r="N28" s="517">
        <f>ROUND(((1+N$6)*M28),2)</f>
        <v>16.940000000000001</v>
      </c>
      <c r="O28" s="517">
        <f>ROUND(((1+O$6)*N28),2)</f>
        <v>17.350000000000001</v>
      </c>
      <c r="P28" s="517">
        <f t="shared" si="1"/>
        <v>17.82</v>
      </c>
      <c r="Q28" s="517">
        <f t="shared" si="1"/>
        <v>18.5</v>
      </c>
      <c r="R28" s="517">
        <f t="shared" si="1"/>
        <v>19.09</v>
      </c>
      <c r="S28" s="517">
        <f t="shared" si="1"/>
        <v>19.850000000000001</v>
      </c>
      <c r="T28" s="517">
        <f t="shared" si="1"/>
        <v>20.07</v>
      </c>
      <c r="U28" s="517">
        <f t="shared" si="1"/>
        <v>20.83</v>
      </c>
      <c r="V28" s="517">
        <f t="shared" si="1"/>
        <v>21.87</v>
      </c>
    </row>
    <row r="29" spans="1:23" ht="14.1" customHeight="1">
      <c r="H29" s="555"/>
      <c r="J29" s="519"/>
    </row>
    <row r="30" spans="1:23" ht="14.1" customHeight="1">
      <c r="A30" s="517" t="s">
        <v>735</v>
      </c>
      <c r="G30" s="517"/>
      <c r="H30" s="542"/>
      <c r="I30" s="517"/>
    </row>
    <row r="31" spans="1:23" ht="14.1" customHeight="1">
      <c r="B31" s="517" t="s">
        <v>736</v>
      </c>
      <c r="E31" s="544"/>
      <c r="F31" s="548">
        <f t="shared" ref="F31:F32" si="4">ROUND($V31,0)</f>
        <v>51</v>
      </c>
      <c r="G31" s="531" t="s">
        <v>673</v>
      </c>
      <c r="H31" s="555">
        <f>U31</f>
        <v>48.59</v>
      </c>
      <c r="I31" s="519">
        <f>35*1.008</f>
        <v>35.28</v>
      </c>
      <c r="J31" s="519">
        <f>I31*1.017</f>
        <v>35.879759999999997</v>
      </c>
      <c r="K31" s="517">
        <f>ROUND(((1+$K$6)*J31),2)</f>
        <v>36.880000000000003</v>
      </c>
      <c r="L31" s="517">
        <f>ROUND(((1+$L$6)*K31),2)</f>
        <v>37.65</v>
      </c>
      <c r="M31" s="517">
        <f>ROUND(((1+$L$6)*L31),2)</f>
        <v>38.44</v>
      </c>
      <c r="N31" s="517">
        <f>ROUND(((1+N$6)*M31),2)</f>
        <v>39.520000000000003</v>
      </c>
      <c r="O31" s="517">
        <f>ROUND(((1+O$6)*N31),2)</f>
        <v>40.47</v>
      </c>
      <c r="P31" s="517">
        <f t="shared" si="1"/>
        <v>41.56</v>
      </c>
      <c r="Q31" s="517">
        <f t="shared" si="1"/>
        <v>43.14</v>
      </c>
      <c r="R31" s="517">
        <f t="shared" si="1"/>
        <v>44.52</v>
      </c>
      <c r="S31" s="517">
        <f t="shared" si="1"/>
        <v>46.3</v>
      </c>
      <c r="T31" s="517">
        <f t="shared" si="1"/>
        <v>46.81</v>
      </c>
      <c r="U31" s="517">
        <f t="shared" si="1"/>
        <v>48.59</v>
      </c>
      <c r="V31" s="517">
        <f t="shared" si="1"/>
        <v>51.02</v>
      </c>
    </row>
    <row r="32" spans="1:23" ht="14.1" customHeight="1">
      <c r="B32" s="517" t="s">
        <v>737</v>
      </c>
      <c r="E32" s="544"/>
      <c r="F32" s="548">
        <f t="shared" si="4"/>
        <v>163</v>
      </c>
      <c r="G32" s="531" t="s">
        <v>673</v>
      </c>
      <c r="H32" s="555">
        <f>U32</f>
        <v>155.69999999999999</v>
      </c>
      <c r="I32" s="519" t="s">
        <v>738</v>
      </c>
      <c r="J32" s="519"/>
      <c r="S32" s="517">
        <v>327</v>
      </c>
      <c r="T32" s="556">
        <v>150</v>
      </c>
      <c r="U32" s="517">
        <f t="shared" si="1"/>
        <v>155.69999999999999</v>
      </c>
      <c r="V32" s="517">
        <f t="shared" si="1"/>
        <v>163.49</v>
      </c>
      <c r="W32" s="517" t="s">
        <v>713</v>
      </c>
    </row>
    <row r="33" spans="1:23" ht="14.1" customHeight="1">
      <c r="H33" s="555"/>
      <c r="J33" s="519"/>
    </row>
    <row r="34" spans="1:23" ht="14.1" customHeight="1">
      <c r="A34" s="517" t="s">
        <v>739</v>
      </c>
      <c r="H34" s="555"/>
      <c r="J34" s="519"/>
    </row>
    <row r="35" spans="1:23" ht="14.1" customHeight="1">
      <c r="B35" s="517" t="s">
        <v>740</v>
      </c>
      <c r="E35" s="544"/>
      <c r="F35" s="548">
        <f t="shared" ref="F35:F37" si="5">ROUND($V35,0)</f>
        <v>55</v>
      </c>
      <c r="G35" s="531" t="s">
        <v>741</v>
      </c>
      <c r="H35" s="555">
        <f>U35</f>
        <v>52.82</v>
      </c>
      <c r="I35" s="519">
        <f>40*1.008</f>
        <v>40.32</v>
      </c>
      <c r="J35" s="519">
        <f>I35*1.017</f>
        <v>41.005439999999993</v>
      </c>
      <c r="K35" s="517">
        <f>ROUND(((1+$K$6)*J35),2)</f>
        <v>42.15</v>
      </c>
      <c r="L35" s="517">
        <f>ROUND(((1+$L$6)*K35),2)</f>
        <v>43.04</v>
      </c>
      <c r="M35" s="517">
        <f>ROUND(((1+$L$6)*L35),2)</f>
        <v>43.94</v>
      </c>
      <c r="N35" s="517">
        <f>ROUND(((1+N$6)*M35),2)</f>
        <v>45.17</v>
      </c>
      <c r="O35" s="517">
        <f>ROUND(((1+O$6)*N35),2)</f>
        <v>46.25</v>
      </c>
      <c r="P35" s="517">
        <f t="shared" si="1"/>
        <v>47.5</v>
      </c>
      <c r="Q35" s="517">
        <f t="shared" si="1"/>
        <v>49.31</v>
      </c>
      <c r="R35" s="517">
        <f t="shared" si="1"/>
        <v>50.89</v>
      </c>
      <c r="S35" s="517">
        <v>50.89</v>
      </c>
      <c r="T35" s="556">
        <v>50.89</v>
      </c>
      <c r="U35" s="517">
        <f t="shared" si="1"/>
        <v>52.82</v>
      </c>
      <c r="V35" s="517">
        <f t="shared" si="1"/>
        <v>55.46</v>
      </c>
      <c r="W35" s="517" t="s">
        <v>742</v>
      </c>
    </row>
    <row r="36" spans="1:23" ht="14.1" customHeight="1">
      <c r="B36" s="517" t="s">
        <v>743</v>
      </c>
      <c r="E36" s="544"/>
      <c r="F36" s="548">
        <f t="shared" si="5"/>
        <v>55</v>
      </c>
      <c r="G36" s="531" t="s">
        <v>721</v>
      </c>
      <c r="H36" s="555">
        <f t="shared" ref="H36:H37" si="6">U36</f>
        <v>52.82</v>
      </c>
      <c r="J36" s="519"/>
      <c r="S36" s="517">
        <v>50.89</v>
      </c>
      <c r="T36" s="556">
        <v>50.89</v>
      </c>
      <c r="U36" s="517">
        <f t="shared" si="1"/>
        <v>52.82</v>
      </c>
      <c r="V36" s="517">
        <f t="shared" si="1"/>
        <v>55.46</v>
      </c>
      <c r="W36" s="517" t="s">
        <v>742</v>
      </c>
    </row>
    <row r="37" spans="1:23" ht="14.1" customHeight="1">
      <c r="B37" s="517" t="s">
        <v>744</v>
      </c>
      <c r="E37" s="544"/>
      <c r="F37" s="548">
        <f t="shared" si="5"/>
        <v>163</v>
      </c>
      <c r="G37" s="531" t="s">
        <v>673</v>
      </c>
      <c r="H37" s="555">
        <f t="shared" si="6"/>
        <v>155.69999999999999</v>
      </c>
      <c r="I37" s="519" t="s">
        <v>738</v>
      </c>
      <c r="J37" s="519"/>
      <c r="S37" s="517">
        <v>327</v>
      </c>
      <c r="T37" s="556">
        <v>150</v>
      </c>
      <c r="U37" s="517">
        <f t="shared" si="1"/>
        <v>155.69999999999999</v>
      </c>
      <c r="V37" s="517">
        <f t="shared" si="1"/>
        <v>163.49</v>
      </c>
      <c r="W37" s="517" t="s">
        <v>713</v>
      </c>
    </row>
    <row r="38" spans="1:23" ht="14.1" customHeight="1">
      <c r="H38" s="555"/>
      <c r="J38" s="519"/>
    </row>
    <row r="39" spans="1:23" ht="14.1" customHeight="1">
      <c r="A39" s="517" t="s">
        <v>745</v>
      </c>
      <c r="H39" s="555"/>
      <c r="J39" s="519"/>
    </row>
    <row r="40" spans="1:23" ht="14.1" customHeight="1">
      <c r="B40" s="517" t="s">
        <v>746</v>
      </c>
      <c r="E40" s="544"/>
      <c r="F40" s="548">
        <f t="shared" ref="F40:F42" si="7">ROUND($V40,0)</f>
        <v>71</v>
      </c>
      <c r="H40" s="555">
        <f t="shared" ref="H40:H42" si="8">U40</f>
        <v>68.03</v>
      </c>
      <c r="I40" s="519">
        <f>49*1.008</f>
        <v>49.392000000000003</v>
      </c>
      <c r="J40" s="519">
        <f>I40*1.017</f>
        <v>50.231663999999995</v>
      </c>
      <c r="K40" s="517">
        <f>ROUND(((1+$K$6)*J40),2)</f>
        <v>51.64</v>
      </c>
      <c r="L40" s="517">
        <f t="shared" ref="L40:M42" si="9">ROUND(((1+$L$6)*K40),2)</f>
        <v>52.72</v>
      </c>
      <c r="M40" s="517">
        <f t="shared" si="9"/>
        <v>53.83</v>
      </c>
      <c r="N40" s="517">
        <f t="shared" ref="N40:O42" si="10">ROUND(((1+N$6)*M40),2)</f>
        <v>55.34</v>
      </c>
      <c r="O40" s="517">
        <f t="shared" si="10"/>
        <v>56.67</v>
      </c>
      <c r="P40" s="517">
        <f t="shared" si="1"/>
        <v>58.2</v>
      </c>
      <c r="Q40" s="517">
        <f t="shared" si="1"/>
        <v>60.41</v>
      </c>
      <c r="R40" s="517">
        <f t="shared" si="1"/>
        <v>62.34</v>
      </c>
      <c r="S40" s="517">
        <f t="shared" si="1"/>
        <v>64.83</v>
      </c>
      <c r="T40" s="517">
        <f t="shared" si="1"/>
        <v>65.540000000000006</v>
      </c>
      <c r="U40" s="517">
        <f t="shared" si="1"/>
        <v>68.03</v>
      </c>
      <c r="V40" s="517">
        <f t="shared" si="1"/>
        <v>71.430000000000007</v>
      </c>
    </row>
    <row r="41" spans="1:23" ht="14.1" customHeight="1">
      <c r="B41" s="517" t="s">
        <v>747</v>
      </c>
      <c r="E41" s="544"/>
      <c r="F41" s="548">
        <f t="shared" si="7"/>
        <v>108</v>
      </c>
      <c r="H41" s="555">
        <f t="shared" si="8"/>
        <v>102.76</v>
      </c>
      <c r="I41" s="519">
        <f>74*1.008</f>
        <v>74.591999999999999</v>
      </c>
      <c r="J41" s="519">
        <f>I41*1.017</f>
        <v>75.860063999999994</v>
      </c>
      <c r="K41" s="517">
        <f>ROUND(((1+$K$6)*J41),2)</f>
        <v>77.98</v>
      </c>
      <c r="L41" s="517">
        <f t="shared" si="9"/>
        <v>79.62</v>
      </c>
      <c r="M41" s="517">
        <f t="shared" si="9"/>
        <v>81.290000000000006</v>
      </c>
      <c r="N41" s="517">
        <f t="shared" si="10"/>
        <v>83.57</v>
      </c>
      <c r="O41" s="517">
        <f t="shared" si="10"/>
        <v>85.58</v>
      </c>
      <c r="P41" s="517">
        <f t="shared" si="1"/>
        <v>87.89</v>
      </c>
      <c r="Q41" s="517">
        <f t="shared" si="1"/>
        <v>91.23</v>
      </c>
      <c r="R41" s="517">
        <f t="shared" si="1"/>
        <v>94.15</v>
      </c>
      <c r="S41" s="517">
        <f t="shared" si="1"/>
        <v>97.92</v>
      </c>
      <c r="T41" s="517">
        <f t="shared" si="1"/>
        <v>99</v>
      </c>
      <c r="U41" s="517">
        <f t="shared" si="1"/>
        <v>102.76</v>
      </c>
      <c r="V41" s="517">
        <f t="shared" si="1"/>
        <v>107.9</v>
      </c>
    </row>
    <row r="42" spans="1:23" ht="14.1" customHeight="1">
      <c r="B42" s="517" t="s">
        <v>748</v>
      </c>
      <c r="E42" s="544"/>
      <c r="F42" s="548">
        <f t="shared" si="7"/>
        <v>108</v>
      </c>
      <c r="H42" s="555">
        <f t="shared" si="8"/>
        <v>102.76</v>
      </c>
      <c r="I42" s="519">
        <f>74*1.008</f>
        <v>74.591999999999999</v>
      </c>
      <c r="J42" s="519">
        <f>I42*1.017</f>
        <v>75.860063999999994</v>
      </c>
      <c r="K42" s="517">
        <f>ROUND(((1+$K$6)*J42),2)</f>
        <v>77.98</v>
      </c>
      <c r="L42" s="517">
        <f t="shared" si="9"/>
        <v>79.62</v>
      </c>
      <c r="M42" s="517">
        <f t="shared" si="9"/>
        <v>81.290000000000006</v>
      </c>
      <c r="N42" s="517">
        <f t="shared" si="10"/>
        <v>83.57</v>
      </c>
      <c r="O42" s="517">
        <f t="shared" si="10"/>
        <v>85.58</v>
      </c>
      <c r="P42" s="517">
        <f t="shared" si="1"/>
        <v>87.89</v>
      </c>
      <c r="Q42" s="517">
        <f t="shared" si="1"/>
        <v>91.23</v>
      </c>
      <c r="R42" s="517">
        <f t="shared" si="1"/>
        <v>94.15</v>
      </c>
      <c r="S42" s="517">
        <f t="shared" si="1"/>
        <v>97.92</v>
      </c>
      <c r="T42" s="517">
        <f t="shared" si="1"/>
        <v>99</v>
      </c>
      <c r="U42" s="517">
        <f t="shared" si="1"/>
        <v>102.76</v>
      </c>
      <c r="V42" s="517">
        <f t="shared" si="1"/>
        <v>107.9</v>
      </c>
    </row>
    <row r="43" spans="1:23" ht="14.1" customHeight="1">
      <c r="H43" s="555"/>
      <c r="J43" s="519"/>
    </row>
    <row r="44" spans="1:23" ht="14.45" customHeight="1">
      <c r="A44" s="517" t="s">
        <v>749</v>
      </c>
      <c r="H44" s="555"/>
      <c r="J44" s="519"/>
    </row>
    <row r="45" spans="1:23" ht="14.1" customHeight="1">
      <c r="B45" s="517" t="s">
        <v>750</v>
      </c>
      <c r="E45" s="544"/>
      <c r="F45" s="548">
        <f>F112</f>
        <v>125</v>
      </c>
      <c r="G45" s="531" t="s">
        <v>635</v>
      </c>
      <c r="H45" s="555">
        <f>H112</f>
        <v>119.41</v>
      </c>
      <c r="I45" s="519">
        <v>86</v>
      </c>
      <c r="J45" s="519">
        <f>I45*1.017</f>
        <v>87.461999999999989</v>
      </c>
      <c r="K45" s="517">
        <f>ROUND(((1+$K$6)*J45),2)</f>
        <v>89.91</v>
      </c>
      <c r="L45" s="517">
        <f t="shared" ref="L45:M47" si="11">ROUND(((1+$L$6)*K45),2)</f>
        <v>91.8</v>
      </c>
      <c r="M45" s="517">
        <f t="shared" si="11"/>
        <v>93.73</v>
      </c>
      <c r="N45" s="517">
        <f t="shared" ref="N45:O47" si="12">ROUND(((1+N$6)*M45),2)</f>
        <v>96.35</v>
      </c>
      <c r="O45" s="517">
        <f t="shared" si="12"/>
        <v>98.66</v>
      </c>
      <c r="P45" s="517">
        <f t="shared" si="1"/>
        <v>101.32</v>
      </c>
      <c r="Q45" s="517">
        <f t="shared" si="1"/>
        <v>105.17</v>
      </c>
      <c r="R45" s="517">
        <f t="shared" si="1"/>
        <v>108.54</v>
      </c>
      <c r="S45" s="556"/>
      <c r="T45" s="556"/>
      <c r="U45" s="556"/>
      <c r="V45" s="556"/>
      <c r="W45" s="517" t="s">
        <v>751</v>
      </c>
    </row>
    <row r="46" spans="1:23" ht="14.1" customHeight="1">
      <c r="B46" s="517" t="s">
        <v>752</v>
      </c>
      <c r="E46" s="544"/>
      <c r="F46" s="548">
        <f t="shared" ref="F46:F47" si="13">ROUND($V46,0)</f>
        <v>282</v>
      </c>
      <c r="G46" s="531" t="s">
        <v>753</v>
      </c>
      <c r="H46" s="555">
        <f t="shared" ref="H46:H47" si="14">U46</f>
        <v>268.60000000000002</v>
      </c>
      <c r="I46" s="519">
        <v>195</v>
      </c>
      <c r="J46" s="519">
        <f>I46*1.017</f>
        <v>198.31499999999997</v>
      </c>
      <c r="K46" s="517">
        <f>ROUND(((1+$K$6)*J46),2)</f>
        <v>203.87</v>
      </c>
      <c r="L46" s="517">
        <f t="shared" si="11"/>
        <v>208.15</v>
      </c>
      <c r="M46" s="517">
        <f t="shared" si="11"/>
        <v>212.52</v>
      </c>
      <c r="N46" s="517">
        <f t="shared" si="12"/>
        <v>218.47</v>
      </c>
      <c r="O46" s="517">
        <f t="shared" si="12"/>
        <v>223.71</v>
      </c>
      <c r="P46" s="517">
        <f t="shared" si="1"/>
        <v>229.75</v>
      </c>
      <c r="Q46" s="517">
        <f t="shared" si="1"/>
        <v>238.48</v>
      </c>
      <c r="R46" s="517">
        <f t="shared" si="1"/>
        <v>246.11</v>
      </c>
      <c r="S46" s="517">
        <f t="shared" si="1"/>
        <v>255.95</v>
      </c>
      <c r="T46" s="517">
        <f t="shared" si="1"/>
        <v>258.77</v>
      </c>
      <c r="U46" s="517">
        <f t="shared" si="1"/>
        <v>268.60000000000002</v>
      </c>
      <c r="V46" s="517">
        <f t="shared" si="1"/>
        <v>282.02999999999997</v>
      </c>
    </row>
    <row r="47" spans="1:23" ht="14.1" customHeight="1">
      <c r="B47" s="517" t="s">
        <v>754</v>
      </c>
      <c r="E47" s="544"/>
      <c r="F47" s="548">
        <f t="shared" si="13"/>
        <v>94</v>
      </c>
      <c r="G47" s="531" t="s">
        <v>755</v>
      </c>
      <c r="H47" s="555">
        <f t="shared" si="14"/>
        <v>89.54</v>
      </c>
      <c r="I47" s="519">
        <v>65</v>
      </c>
      <c r="J47" s="519">
        <f>I47*1.017</f>
        <v>66.10499999999999</v>
      </c>
      <c r="K47" s="517">
        <f>ROUND(((1+$K$6)*J47),2)</f>
        <v>67.959999999999994</v>
      </c>
      <c r="L47" s="517">
        <f t="shared" si="11"/>
        <v>69.39</v>
      </c>
      <c r="M47" s="517">
        <f t="shared" si="11"/>
        <v>70.849999999999994</v>
      </c>
      <c r="N47" s="517">
        <f t="shared" si="12"/>
        <v>72.83</v>
      </c>
      <c r="O47" s="517">
        <f t="shared" si="12"/>
        <v>74.58</v>
      </c>
      <c r="P47" s="517">
        <f t="shared" si="1"/>
        <v>76.59</v>
      </c>
      <c r="Q47" s="517">
        <f t="shared" si="1"/>
        <v>79.5</v>
      </c>
      <c r="R47" s="517">
        <f t="shared" si="1"/>
        <v>82.04</v>
      </c>
      <c r="S47" s="517">
        <f t="shared" si="1"/>
        <v>85.32</v>
      </c>
      <c r="T47" s="517">
        <f t="shared" si="1"/>
        <v>86.26</v>
      </c>
      <c r="U47" s="517">
        <f t="shared" si="1"/>
        <v>89.54</v>
      </c>
      <c r="V47" s="517">
        <f t="shared" si="1"/>
        <v>94.02</v>
      </c>
    </row>
    <row r="48" spans="1:23" ht="14.1" customHeight="1">
      <c r="H48" s="555"/>
      <c r="J48" s="519"/>
    </row>
    <row r="49" spans="1:23" ht="14.1" customHeight="1">
      <c r="A49" s="517" t="s">
        <v>756</v>
      </c>
      <c r="H49" s="555"/>
      <c r="J49" s="519"/>
    </row>
    <row r="50" spans="1:23" ht="14.1" customHeight="1">
      <c r="B50" s="517" t="s">
        <v>715</v>
      </c>
      <c r="F50" s="557" t="s">
        <v>757</v>
      </c>
      <c r="H50" s="555" t="s">
        <v>757</v>
      </c>
      <c r="J50" s="519"/>
    </row>
    <row r="51" spans="1:23" ht="14.1" customHeight="1">
      <c r="B51" s="517" t="s">
        <v>722</v>
      </c>
      <c r="F51" s="557" t="s">
        <v>757</v>
      </c>
      <c r="H51" s="555" t="s">
        <v>757</v>
      </c>
      <c r="J51" s="519"/>
    </row>
    <row r="52" spans="1:23" ht="14.1" customHeight="1">
      <c r="F52" s="557"/>
      <c r="H52" s="555"/>
      <c r="J52" s="519"/>
    </row>
    <row r="53" spans="1:23" ht="14.1" customHeight="1">
      <c r="H53" s="555"/>
      <c r="J53" s="519"/>
    </row>
    <row r="54" spans="1:23" ht="14.1" customHeight="1">
      <c r="A54" s="517" t="s">
        <v>758</v>
      </c>
      <c r="G54" s="517"/>
      <c r="H54" s="542"/>
      <c r="J54" s="519"/>
    </row>
    <row r="55" spans="1:23" ht="14.1" customHeight="1">
      <c r="B55" s="558" t="s">
        <v>759</v>
      </c>
      <c r="C55" s="558"/>
      <c r="D55" s="558"/>
      <c r="E55" s="558"/>
      <c r="F55" s="559">
        <v>0</v>
      </c>
      <c r="G55" s="531" t="s">
        <v>760</v>
      </c>
      <c r="H55" s="560"/>
      <c r="J55" s="519"/>
      <c r="W55" s="517" t="s">
        <v>761</v>
      </c>
    </row>
    <row r="56" spans="1:23" ht="14.1" customHeight="1">
      <c r="B56" s="558" t="s">
        <v>762</v>
      </c>
      <c r="C56" s="558"/>
      <c r="D56" s="558"/>
      <c r="E56" s="558"/>
      <c r="F56" s="559">
        <v>0</v>
      </c>
      <c r="G56" s="531" t="s">
        <v>760</v>
      </c>
      <c r="H56" s="560"/>
      <c r="J56" s="519"/>
      <c r="W56" s="517" t="s">
        <v>761</v>
      </c>
    </row>
    <row r="57" spans="1:23" ht="14.1" customHeight="1">
      <c r="B57" s="558" t="s">
        <v>763</v>
      </c>
      <c r="C57" s="558"/>
      <c r="D57" s="558"/>
      <c r="E57" s="558"/>
      <c r="F57" s="559">
        <v>100</v>
      </c>
      <c r="G57" s="531" t="s">
        <v>760</v>
      </c>
      <c r="H57" s="560"/>
      <c r="J57" s="519"/>
      <c r="W57" s="517" t="s">
        <v>761</v>
      </c>
    </row>
    <row r="58" spans="1:23" ht="14.1" customHeight="1">
      <c r="B58" s="558" t="s">
        <v>764</v>
      </c>
      <c r="C58" s="558"/>
      <c r="D58" s="558"/>
      <c r="E58" s="558"/>
      <c r="F58" s="559">
        <v>200</v>
      </c>
      <c r="G58" s="531" t="s">
        <v>760</v>
      </c>
      <c r="H58" s="560"/>
      <c r="J58" s="519"/>
      <c r="W58" s="517" t="s">
        <v>761</v>
      </c>
    </row>
    <row r="59" spans="1:23" ht="14.1" customHeight="1">
      <c r="B59" s="558" t="s">
        <v>765</v>
      </c>
      <c r="C59" s="558"/>
      <c r="D59" s="558"/>
      <c r="E59" s="558"/>
      <c r="F59" s="559">
        <v>500</v>
      </c>
      <c r="G59" s="531" t="s">
        <v>760</v>
      </c>
      <c r="H59" s="560"/>
      <c r="J59" s="519"/>
      <c r="W59" s="517" t="s">
        <v>761</v>
      </c>
    </row>
    <row r="60" spans="1:23" ht="14.1" customHeight="1">
      <c r="B60" s="558" t="s">
        <v>766</v>
      </c>
      <c r="C60" s="558"/>
      <c r="D60" s="558"/>
      <c r="E60" s="558"/>
      <c r="F60" s="561" t="s">
        <v>767</v>
      </c>
      <c r="H60" s="560"/>
      <c r="J60" s="519"/>
      <c r="W60" s="517" t="s">
        <v>761</v>
      </c>
    </row>
    <row r="61" spans="1:23" ht="14.1" hidden="1" customHeight="1">
      <c r="B61" s="517" t="s">
        <v>768</v>
      </c>
      <c r="E61" s="544"/>
      <c r="F61" s="548">
        <f>ROUND($U61,0)</f>
        <v>139</v>
      </c>
      <c r="G61" s="531" t="s">
        <v>769</v>
      </c>
      <c r="H61" s="555">
        <f>T61</f>
        <v>133.76</v>
      </c>
      <c r="I61" s="519">
        <f>100*1.008</f>
        <v>100.8</v>
      </c>
      <c r="J61" s="519">
        <f>I61*1.017</f>
        <v>102.51359999999998</v>
      </c>
      <c r="K61" s="517">
        <f>ROUND(((1+$K$6)*J61),2)</f>
        <v>105.38</v>
      </c>
      <c r="L61" s="517">
        <f>ROUND(((1+$L$6)*K61),2)</f>
        <v>107.59</v>
      </c>
      <c r="M61" s="517">
        <f>ROUND(((1+$L$6)*L61),2)</f>
        <v>109.85</v>
      </c>
      <c r="N61" s="517">
        <f>ROUND(((1+N$6)*M61),2)</f>
        <v>112.93</v>
      </c>
      <c r="O61" s="517">
        <f>ROUND(((1+O$6)*N61),2)</f>
        <v>115.64</v>
      </c>
      <c r="P61" s="517">
        <f t="shared" si="1"/>
        <v>118.76</v>
      </c>
      <c r="Q61" s="517">
        <f t="shared" si="1"/>
        <v>123.27</v>
      </c>
      <c r="R61" s="517">
        <f t="shared" si="1"/>
        <v>127.21</v>
      </c>
      <c r="S61" s="517">
        <f t="shared" si="1"/>
        <v>132.30000000000001</v>
      </c>
      <c r="T61" s="517">
        <f t="shared" si="1"/>
        <v>133.76</v>
      </c>
      <c r="U61" s="517">
        <f t="shared" si="1"/>
        <v>138.84</v>
      </c>
      <c r="W61" s="517" t="s">
        <v>770</v>
      </c>
    </row>
    <row r="62" spans="1:23" ht="14.1" customHeight="1">
      <c r="G62" s="531" t="s">
        <v>771</v>
      </c>
      <c r="H62" s="555"/>
      <c r="J62" s="519"/>
    </row>
    <row r="63" spans="1:23" ht="14.1" customHeight="1">
      <c r="A63" s="517" t="s">
        <v>772</v>
      </c>
      <c r="E63" s="544"/>
      <c r="F63" s="548">
        <f>F112</f>
        <v>125</v>
      </c>
      <c r="G63" s="531" t="s">
        <v>635</v>
      </c>
      <c r="H63" s="555">
        <f>H112</f>
        <v>119.41</v>
      </c>
      <c r="I63" s="519">
        <f>105*1.008</f>
        <v>105.84</v>
      </c>
      <c r="J63" s="519">
        <f>I63*1.017</f>
        <v>107.63928</v>
      </c>
      <c r="K63" s="517">
        <f>ROUND(((1+$K$6)*J63),2)</f>
        <v>110.65</v>
      </c>
      <c r="L63" s="517">
        <f>ROUND(((1+$L$6)*K63),2)</f>
        <v>112.97</v>
      </c>
      <c r="M63" s="517">
        <f>ROUND(((1+$L$6)*L63),2)</f>
        <v>115.34</v>
      </c>
      <c r="N63" s="517">
        <f>ROUND(((1+N$6)*M63),2)</f>
        <v>118.57</v>
      </c>
      <c r="O63" s="517">
        <f>ROUND(((1+O$6)*N63),2)</f>
        <v>121.42</v>
      </c>
      <c r="P63" s="517">
        <f t="shared" si="1"/>
        <v>124.7</v>
      </c>
      <c r="Q63" s="517">
        <f t="shared" si="1"/>
        <v>129.44</v>
      </c>
      <c r="R63" s="517">
        <f t="shared" si="1"/>
        <v>133.58000000000001</v>
      </c>
      <c r="S63" s="556"/>
      <c r="T63" s="556"/>
      <c r="U63" s="556"/>
      <c r="V63" s="556"/>
      <c r="W63" s="517" t="s">
        <v>710</v>
      </c>
    </row>
    <row r="64" spans="1:23" ht="14.1" customHeight="1">
      <c r="H64" s="555"/>
      <c r="J64" s="519"/>
    </row>
    <row r="65" spans="1:23" ht="14.1" customHeight="1">
      <c r="A65" s="517" t="s">
        <v>773</v>
      </c>
      <c r="H65" s="555"/>
      <c r="J65" s="519"/>
    </row>
    <row r="66" spans="1:23" ht="14.1" customHeight="1">
      <c r="B66" s="517" t="s">
        <v>774</v>
      </c>
      <c r="F66" s="548">
        <v>200</v>
      </c>
      <c r="G66" s="531" t="s">
        <v>775</v>
      </c>
      <c r="H66" s="555">
        <v>200</v>
      </c>
      <c r="J66" s="519"/>
      <c r="W66" s="517" t="s">
        <v>761</v>
      </c>
    </row>
    <row r="67" spans="1:23" ht="14.1" customHeight="1">
      <c r="B67" s="517" t="s">
        <v>776</v>
      </c>
      <c r="F67" s="548">
        <v>200</v>
      </c>
      <c r="G67" s="531" t="s">
        <v>216</v>
      </c>
      <c r="H67" s="555">
        <v>200</v>
      </c>
      <c r="J67" s="519"/>
      <c r="W67" s="517" t="s">
        <v>761</v>
      </c>
    </row>
    <row r="68" spans="1:23" ht="14.1" customHeight="1">
      <c r="B68" s="517" t="s">
        <v>777</v>
      </c>
      <c r="F68" s="548">
        <v>600</v>
      </c>
      <c r="G68" s="531" t="s">
        <v>216</v>
      </c>
      <c r="H68" s="555">
        <v>600</v>
      </c>
      <c r="J68" s="519"/>
      <c r="W68" s="517" t="s">
        <v>761</v>
      </c>
    </row>
    <row r="69" spans="1:23" ht="14.1" customHeight="1">
      <c r="B69" s="517" t="s">
        <v>778</v>
      </c>
      <c r="F69" s="548">
        <v>1200</v>
      </c>
      <c r="G69" s="531" t="s">
        <v>216</v>
      </c>
      <c r="H69" s="555">
        <v>1200</v>
      </c>
      <c r="J69" s="519"/>
      <c r="W69" s="517" t="s">
        <v>761</v>
      </c>
    </row>
    <row r="70" spans="1:23" ht="14.1" customHeight="1">
      <c r="B70" s="517" t="s">
        <v>779</v>
      </c>
      <c r="E70" s="544"/>
      <c r="F70" s="548">
        <f>ROUND($V70,0)</f>
        <v>106</v>
      </c>
      <c r="G70" s="531" t="s">
        <v>780</v>
      </c>
      <c r="H70" s="555">
        <f>U70</f>
        <v>101.37</v>
      </c>
      <c r="I70" s="519">
        <f>73*1.008</f>
        <v>73.584000000000003</v>
      </c>
      <c r="J70" s="519">
        <f>I70*1.017</f>
        <v>74.834927999999991</v>
      </c>
      <c r="K70" s="517">
        <f>ROUND(((1+$K$6)*J70),2)</f>
        <v>76.930000000000007</v>
      </c>
      <c r="L70" s="517">
        <f>ROUND(((1+$L$6)*K70),2)</f>
        <v>78.55</v>
      </c>
      <c r="M70" s="517">
        <f>ROUND(((1+$L$6)*L70),2)</f>
        <v>80.2</v>
      </c>
      <c r="N70" s="517">
        <f>ROUND(((1+N$6)*M70),2)</f>
        <v>82.45</v>
      </c>
      <c r="O70" s="517">
        <f>ROUND(((1+O$6)*N70),2)</f>
        <v>84.43</v>
      </c>
      <c r="P70" s="517">
        <f t="shared" si="1"/>
        <v>86.71</v>
      </c>
      <c r="Q70" s="517">
        <f t="shared" si="1"/>
        <v>90</v>
      </c>
      <c r="R70" s="517">
        <f t="shared" si="1"/>
        <v>92.88</v>
      </c>
      <c r="S70" s="517">
        <f t="shared" si="1"/>
        <v>96.6</v>
      </c>
      <c r="T70" s="517">
        <f t="shared" si="1"/>
        <v>97.66</v>
      </c>
      <c r="U70" s="517">
        <f t="shared" si="1"/>
        <v>101.37</v>
      </c>
      <c r="V70" s="517">
        <f t="shared" si="1"/>
        <v>106.44</v>
      </c>
    </row>
    <row r="71" spans="1:23" ht="14.1" customHeight="1">
      <c r="G71" s="531" t="s">
        <v>781</v>
      </c>
      <c r="H71" s="555"/>
      <c r="J71" s="519"/>
    </row>
    <row r="72" spans="1:23" ht="14.1" customHeight="1">
      <c r="A72" s="517" t="s">
        <v>782</v>
      </c>
      <c r="H72" s="555"/>
      <c r="J72" s="519"/>
    </row>
    <row r="73" spans="1:23" ht="14.1" customHeight="1">
      <c r="B73" s="517" t="s">
        <v>783</v>
      </c>
      <c r="E73" s="544"/>
      <c r="F73" s="548">
        <f t="shared" ref="F73:F74" si="15">ROUND($V73,0)</f>
        <v>168</v>
      </c>
      <c r="G73" s="531" t="s">
        <v>784</v>
      </c>
      <c r="H73" s="555">
        <f>U73</f>
        <v>159.68</v>
      </c>
      <c r="I73" s="519">
        <f>115*1.008</f>
        <v>115.92</v>
      </c>
      <c r="J73" s="519">
        <f>I73*1.017</f>
        <v>117.89063999999999</v>
      </c>
      <c r="K73" s="517">
        <f>ROUND(((1+$K$6)*J73),2)</f>
        <v>121.19</v>
      </c>
      <c r="L73" s="517">
        <f>ROUND(((1+$L$6)*K73),2)</f>
        <v>123.73</v>
      </c>
      <c r="M73" s="517">
        <f>ROUND(((1+$L$6)*L73),2)</f>
        <v>126.33</v>
      </c>
      <c r="N73" s="517">
        <f>ROUND(((1+N$6)*M73),2)</f>
        <v>129.87</v>
      </c>
      <c r="O73" s="517">
        <f>ROUND(((1+O$6)*N73),2)</f>
        <v>132.99</v>
      </c>
      <c r="P73" s="517">
        <f t="shared" si="1"/>
        <v>136.58000000000001</v>
      </c>
      <c r="Q73" s="517">
        <f t="shared" si="1"/>
        <v>141.77000000000001</v>
      </c>
      <c r="R73" s="517">
        <f t="shared" si="1"/>
        <v>146.31</v>
      </c>
      <c r="S73" s="517">
        <f t="shared" si="1"/>
        <v>152.16</v>
      </c>
      <c r="T73" s="517">
        <f t="shared" si="1"/>
        <v>153.83000000000001</v>
      </c>
      <c r="U73" s="517">
        <f t="shared" si="1"/>
        <v>159.68</v>
      </c>
      <c r="V73" s="517">
        <f t="shared" si="1"/>
        <v>167.66</v>
      </c>
    </row>
    <row r="74" spans="1:23" ht="14.1" customHeight="1">
      <c r="B74" s="517" t="s">
        <v>785</v>
      </c>
      <c r="E74" s="544"/>
      <c r="F74" s="548">
        <f t="shared" si="15"/>
        <v>168</v>
      </c>
      <c r="G74" s="531" t="s">
        <v>784</v>
      </c>
      <c r="H74" s="555">
        <f>U74</f>
        <v>159.68</v>
      </c>
      <c r="I74" s="519">
        <f>115*1.008</f>
        <v>115.92</v>
      </c>
      <c r="J74" s="519">
        <f>I74*1.017</f>
        <v>117.89063999999999</v>
      </c>
      <c r="K74" s="517">
        <f>ROUND(((1+$K$6)*J74),2)</f>
        <v>121.19</v>
      </c>
      <c r="L74" s="517">
        <f>ROUND(((1+$L$6)*K74),2)</f>
        <v>123.73</v>
      </c>
      <c r="M74" s="517">
        <f>ROUND(((1+$L$6)*L74),2)</f>
        <v>126.33</v>
      </c>
      <c r="N74" s="517">
        <f>ROUND(((1+N$6)*M74),2)</f>
        <v>129.87</v>
      </c>
      <c r="O74" s="517">
        <f>ROUND(((1+O$6)*N74),2)</f>
        <v>132.99</v>
      </c>
      <c r="P74" s="517">
        <f t="shared" si="1"/>
        <v>136.58000000000001</v>
      </c>
      <c r="Q74" s="517">
        <f t="shared" si="1"/>
        <v>141.77000000000001</v>
      </c>
      <c r="R74" s="517">
        <f t="shared" si="1"/>
        <v>146.31</v>
      </c>
      <c r="S74" s="517">
        <f t="shared" si="1"/>
        <v>152.16</v>
      </c>
      <c r="T74" s="517">
        <f t="shared" si="1"/>
        <v>153.83000000000001</v>
      </c>
      <c r="U74" s="517">
        <f t="shared" si="1"/>
        <v>159.68</v>
      </c>
      <c r="V74" s="517">
        <f t="shared" si="1"/>
        <v>167.66</v>
      </c>
    </row>
    <row r="75" spans="1:23" ht="14.1" customHeight="1">
      <c r="B75" s="517" t="s">
        <v>786</v>
      </c>
      <c r="H75" s="555"/>
      <c r="J75" s="519"/>
    </row>
    <row r="76" spans="1:23" ht="14.1" customHeight="1">
      <c r="H76" s="555"/>
      <c r="J76" s="519"/>
    </row>
    <row r="77" spans="1:23" ht="14.1" customHeight="1">
      <c r="A77" s="517" t="s">
        <v>787</v>
      </c>
      <c r="E77" s="544"/>
      <c r="F77" s="548">
        <f>ROUND($V77,0)</f>
        <v>168</v>
      </c>
      <c r="G77" s="531" t="s">
        <v>784</v>
      </c>
      <c r="H77" s="555">
        <f>U77</f>
        <v>159.68</v>
      </c>
      <c r="I77" s="519">
        <f>115*1.008</f>
        <v>115.92</v>
      </c>
      <c r="J77" s="519">
        <f>I77*1.017</f>
        <v>117.89063999999999</v>
      </c>
      <c r="K77" s="517">
        <f>ROUND(((1+$K$6)*J77),2)</f>
        <v>121.19</v>
      </c>
      <c r="L77" s="517">
        <f>ROUND(((1+$L$6)*K77),2)</f>
        <v>123.73</v>
      </c>
      <c r="M77" s="517">
        <f>ROUND(((1+$L$6)*L77),2)</f>
        <v>126.33</v>
      </c>
      <c r="N77" s="517">
        <f>ROUND(((1+N$6)*M77),2)</f>
        <v>129.87</v>
      </c>
      <c r="O77" s="517">
        <f>ROUND(((1+O$6)*N77),2)</f>
        <v>132.99</v>
      </c>
      <c r="P77" s="517">
        <f t="shared" si="1"/>
        <v>136.58000000000001</v>
      </c>
      <c r="Q77" s="517">
        <f t="shared" si="1"/>
        <v>141.77000000000001</v>
      </c>
      <c r="R77" s="517">
        <f t="shared" si="1"/>
        <v>146.31</v>
      </c>
      <c r="S77" s="517">
        <f t="shared" si="1"/>
        <v>152.16</v>
      </c>
      <c r="T77" s="517">
        <f t="shared" si="1"/>
        <v>153.83000000000001</v>
      </c>
      <c r="U77" s="517">
        <f t="shared" si="1"/>
        <v>159.68</v>
      </c>
      <c r="V77" s="517">
        <f t="shared" si="1"/>
        <v>167.66</v>
      </c>
    </row>
    <row r="78" spans="1:23" ht="14.1" customHeight="1">
      <c r="H78" s="555"/>
      <c r="J78" s="519"/>
    </row>
    <row r="79" spans="1:23" ht="14.1" customHeight="1">
      <c r="A79" s="517" t="s">
        <v>788</v>
      </c>
      <c r="E79" s="544"/>
      <c r="F79" s="548">
        <f>ROUND($V79,0)</f>
        <v>168</v>
      </c>
      <c r="G79" s="517" t="s">
        <v>789</v>
      </c>
      <c r="H79" s="555">
        <f>U79</f>
        <v>159.68</v>
      </c>
      <c r="I79" s="519">
        <f>115*1.008</f>
        <v>115.92</v>
      </c>
      <c r="J79" s="519">
        <f>I79*1.017</f>
        <v>117.89063999999999</v>
      </c>
      <c r="K79" s="517">
        <f>ROUND(((1+$K$6)*J79),2)</f>
        <v>121.19</v>
      </c>
      <c r="L79" s="517">
        <f>ROUND(((1+$L$6)*K79),2)</f>
        <v>123.73</v>
      </c>
      <c r="M79" s="517">
        <f>ROUND(((1+$L$6)*L79),2)</f>
        <v>126.33</v>
      </c>
      <c r="N79" s="517">
        <f>ROUND(((1+N$6)*M79),2)</f>
        <v>129.87</v>
      </c>
      <c r="O79" s="517">
        <f>ROUND(((1+O$6)*N79),2)</f>
        <v>132.99</v>
      </c>
      <c r="P79" s="517">
        <f t="shared" ref="P79:V113" si="16">ROUND(((1+P$6)*O79),2)</f>
        <v>136.58000000000001</v>
      </c>
      <c r="Q79" s="517">
        <f t="shared" si="16"/>
        <v>141.77000000000001</v>
      </c>
      <c r="R79" s="517">
        <f t="shared" si="16"/>
        <v>146.31</v>
      </c>
      <c r="S79" s="517">
        <f t="shared" si="16"/>
        <v>152.16</v>
      </c>
      <c r="T79" s="517">
        <f t="shared" si="16"/>
        <v>153.83000000000001</v>
      </c>
      <c r="U79" s="517">
        <f t="shared" si="16"/>
        <v>159.68</v>
      </c>
      <c r="V79" s="517">
        <f t="shared" si="16"/>
        <v>167.66</v>
      </c>
    </row>
    <row r="80" spans="1:23" ht="14.1" customHeight="1">
      <c r="H80" s="555"/>
      <c r="J80" s="519"/>
    </row>
    <row r="81" spans="1:23" ht="14.1" customHeight="1">
      <c r="A81" s="517" t="s">
        <v>790</v>
      </c>
      <c r="E81" s="544"/>
      <c r="F81" s="548">
        <f>F112</f>
        <v>125</v>
      </c>
      <c r="G81" s="531" t="s">
        <v>753</v>
      </c>
      <c r="H81" s="555">
        <f>H112</f>
        <v>119.41</v>
      </c>
      <c r="I81" s="519">
        <f>86*1.008</f>
        <v>86.688000000000002</v>
      </c>
      <c r="J81" s="519">
        <f>I81*1.017</f>
        <v>88.161695999999992</v>
      </c>
      <c r="K81" s="517">
        <f>ROUND(((1+$K$6)*J81),2)</f>
        <v>90.63</v>
      </c>
      <c r="L81" s="517">
        <f>ROUND(((1+$L$6)*K81),2)</f>
        <v>92.53</v>
      </c>
      <c r="M81" s="517">
        <f>ROUND(((1+$L$6)*L81),2)</f>
        <v>94.47</v>
      </c>
      <c r="N81" s="517">
        <f>ROUND(((1+N$6)*M81),2)</f>
        <v>97.12</v>
      </c>
      <c r="O81" s="517">
        <f>ROUND(((1+O$6)*N81),2)</f>
        <v>99.45</v>
      </c>
      <c r="P81" s="517">
        <f t="shared" si="16"/>
        <v>102.14</v>
      </c>
      <c r="Q81" s="517">
        <f t="shared" si="16"/>
        <v>106.02</v>
      </c>
      <c r="R81" s="517">
        <f t="shared" si="16"/>
        <v>109.41</v>
      </c>
      <c r="S81" s="556"/>
      <c r="T81" s="556"/>
      <c r="U81" s="556"/>
      <c r="V81" s="556"/>
      <c r="W81" s="517" t="s">
        <v>710</v>
      </c>
    </row>
    <row r="82" spans="1:23" ht="14.1" customHeight="1">
      <c r="H82" s="555"/>
      <c r="J82" s="519"/>
    </row>
    <row r="83" spans="1:23" ht="14.1" customHeight="1">
      <c r="A83" s="517" t="s">
        <v>791</v>
      </c>
      <c r="E83" s="544"/>
      <c r="F83" s="548">
        <f>ROUND($V83,0)</f>
        <v>249</v>
      </c>
      <c r="G83" s="531" t="s">
        <v>729</v>
      </c>
      <c r="H83" s="555">
        <f>U83</f>
        <v>237.43</v>
      </c>
      <c r="I83" s="519">
        <f>171*1.008</f>
        <v>172.36799999999999</v>
      </c>
      <c r="J83" s="519">
        <f>I83*1.017</f>
        <v>175.29825599999998</v>
      </c>
      <c r="K83" s="517">
        <f>ROUND(((1+$K$6)*J83),2)</f>
        <v>180.21</v>
      </c>
      <c r="L83" s="517">
        <f>ROUND(((1+$L$6)*K83),2)</f>
        <v>183.99</v>
      </c>
      <c r="M83" s="517">
        <f>ROUND(((1+$L$6)*L83),2)</f>
        <v>187.85</v>
      </c>
      <c r="N83" s="517">
        <f>ROUND(((1+N$6)*M83),2)</f>
        <v>193.11</v>
      </c>
      <c r="O83" s="517">
        <f>ROUND(((1+O$6)*N83),2)</f>
        <v>197.74</v>
      </c>
      <c r="P83" s="517">
        <f t="shared" si="16"/>
        <v>203.08</v>
      </c>
      <c r="Q83" s="517">
        <f t="shared" si="16"/>
        <v>210.8</v>
      </c>
      <c r="R83" s="517">
        <f t="shared" si="16"/>
        <v>217.55</v>
      </c>
      <c r="S83" s="517">
        <f t="shared" si="16"/>
        <v>226.25</v>
      </c>
      <c r="T83" s="517">
        <f t="shared" si="16"/>
        <v>228.74</v>
      </c>
      <c r="U83" s="517">
        <f t="shared" si="16"/>
        <v>237.43</v>
      </c>
      <c r="V83" s="517">
        <f t="shared" si="16"/>
        <v>249.3</v>
      </c>
    </row>
    <row r="84" spans="1:23" ht="14.1" customHeight="1">
      <c r="H84" s="555"/>
      <c r="J84" s="519"/>
    </row>
    <row r="85" spans="1:23" ht="14.1" customHeight="1">
      <c r="A85" s="517" t="s">
        <v>792</v>
      </c>
      <c r="E85" s="544"/>
      <c r="F85" s="548">
        <f>F112</f>
        <v>125</v>
      </c>
      <c r="G85" s="531" t="s">
        <v>753</v>
      </c>
      <c r="H85" s="555">
        <f>H112</f>
        <v>119.41</v>
      </c>
      <c r="I85" s="519">
        <f>86*1.008</f>
        <v>86.688000000000002</v>
      </c>
      <c r="J85" s="519">
        <f>I85*1.017</f>
        <v>88.161695999999992</v>
      </c>
      <c r="K85" s="517">
        <f>ROUND(((1+$K$6)*J85),2)</f>
        <v>90.63</v>
      </c>
      <c r="L85" s="517">
        <f>ROUND(((1+$L$6)*K85),2)</f>
        <v>92.53</v>
      </c>
      <c r="M85" s="517">
        <f>ROUND(((1+$L$6)*L85),2)</f>
        <v>94.47</v>
      </c>
      <c r="N85" s="517">
        <f>ROUND(((1+N$6)*M85),2)</f>
        <v>97.12</v>
      </c>
      <c r="O85" s="517">
        <f>ROUND(((1+O$6)*N85),2)</f>
        <v>99.45</v>
      </c>
      <c r="P85" s="517">
        <f t="shared" si="16"/>
        <v>102.14</v>
      </c>
      <c r="Q85" s="517">
        <f t="shared" si="16"/>
        <v>106.02</v>
      </c>
      <c r="R85" s="517">
        <f t="shared" si="16"/>
        <v>109.41</v>
      </c>
      <c r="S85" s="556"/>
      <c r="T85" s="556"/>
      <c r="U85" s="556"/>
      <c r="V85" s="556"/>
      <c r="W85" s="517" t="s">
        <v>710</v>
      </c>
    </row>
    <row r="86" spans="1:23" ht="14.1" customHeight="1">
      <c r="H86" s="555"/>
      <c r="J86" s="519"/>
    </row>
    <row r="87" spans="1:23" ht="14.1" customHeight="1">
      <c r="A87" s="517" t="s">
        <v>793</v>
      </c>
      <c r="E87" s="544"/>
      <c r="F87" s="548">
        <f>ROUND($V87,0)</f>
        <v>249</v>
      </c>
      <c r="G87" s="531" t="s">
        <v>794</v>
      </c>
      <c r="H87" s="555">
        <f>U87</f>
        <v>237.43</v>
      </c>
      <c r="I87" s="519">
        <f>171*1.008</f>
        <v>172.36799999999999</v>
      </c>
      <c r="J87" s="519">
        <f>I87*1.017</f>
        <v>175.29825599999998</v>
      </c>
      <c r="K87" s="517">
        <f>ROUND(((1+$K$6)*J87),2)</f>
        <v>180.21</v>
      </c>
      <c r="L87" s="517">
        <f>ROUND(((1+$L$6)*K87),2)</f>
        <v>183.99</v>
      </c>
      <c r="M87" s="517">
        <f>ROUND(((1+$L$6)*L87),2)</f>
        <v>187.85</v>
      </c>
      <c r="N87" s="517">
        <f>ROUND(((1+N$6)*M87),2)</f>
        <v>193.11</v>
      </c>
      <c r="O87" s="517">
        <f>ROUND(((1+O$6)*N87),2)</f>
        <v>197.74</v>
      </c>
      <c r="P87" s="517">
        <f t="shared" si="16"/>
        <v>203.08</v>
      </c>
      <c r="Q87" s="517">
        <f t="shared" si="16"/>
        <v>210.8</v>
      </c>
      <c r="R87" s="517">
        <f t="shared" si="16"/>
        <v>217.55</v>
      </c>
      <c r="S87" s="517">
        <f t="shared" si="16"/>
        <v>226.25</v>
      </c>
      <c r="T87" s="517">
        <f t="shared" si="16"/>
        <v>228.74</v>
      </c>
      <c r="U87" s="517">
        <f t="shared" si="16"/>
        <v>237.43</v>
      </c>
      <c r="V87" s="517">
        <f t="shared" si="16"/>
        <v>249.3</v>
      </c>
    </row>
    <row r="88" spans="1:23" ht="14.1" customHeight="1">
      <c r="B88" s="517" t="s">
        <v>795</v>
      </c>
      <c r="F88" s="557" t="s">
        <v>757</v>
      </c>
      <c r="H88" s="555" t="s">
        <v>757</v>
      </c>
      <c r="J88" s="519"/>
    </row>
    <row r="89" spans="1:23" ht="14.1" customHeight="1">
      <c r="H89" s="555"/>
      <c r="J89" s="519"/>
    </row>
    <row r="90" spans="1:23" ht="14.1" customHeight="1">
      <c r="A90" s="517" t="s">
        <v>796</v>
      </c>
      <c r="E90" s="544"/>
      <c r="F90" s="548">
        <f>ROUND($V90,0)</f>
        <v>249</v>
      </c>
      <c r="G90" s="531" t="s">
        <v>794</v>
      </c>
      <c r="H90" s="555">
        <f>U90</f>
        <v>237.43</v>
      </c>
      <c r="I90" s="519">
        <f>171*1.008</f>
        <v>172.36799999999999</v>
      </c>
      <c r="J90" s="519">
        <f>I90*1.017</f>
        <v>175.29825599999998</v>
      </c>
      <c r="K90" s="517">
        <f>ROUND(((1+$K$6)*J90),2)</f>
        <v>180.21</v>
      </c>
      <c r="L90" s="517">
        <f>ROUND(((1+$L$6)*K90),2)</f>
        <v>183.99</v>
      </c>
      <c r="M90" s="517">
        <f>ROUND(((1+$L$6)*L90),2)</f>
        <v>187.85</v>
      </c>
      <c r="N90" s="517">
        <f>ROUND(((1+N$6)*M90),2)</f>
        <v>193.11</v>
      </c>
      <c r="O90" s="517">
        <f>ROUND(((1+O$6)*N90),2)</f>
        <v>197.74</v>
      </c>
      <c r="P90" s="517">
        <f t="shared" si="16"/>
        <v>203.08</v>
      </c>
      <c r="Q90" s="517">
        <f t="shared" si="16"/>
        <v>210.8</v>
      </c>
      <c r="R90" s="517">
        <f t="shared" si="16"/>
        <v>217.55</v>
      </c>
      <c r="S90" s="517">
        <f t="shared" si="16"/>
        <v>226.25</v>
      </c>
      <c r="T90" s="517">
        <f t="shared" si="16"/>
        <v>228.74</v>
      </c>
      <c r="U90" s="517">
        <f t="shared" si="16"/>
        <v>237.43</v>
      </c>
      <c r="V90" s="517">
        <f t="shared" si="16"/>
        <v>249.3</v>
      </c>
    </row>
    <row r="91" spans="1:23" ht="14.1" customHeight="1">
      <c r="B91" s="517" t="s">
        <v>795</v>
      </c>
      <c r="F91" s="557" t="s">
        <v>757</v>
      </c>
      <c r="H91" s="555" t="s">
        <v>757</v>
      </c>
      <c r="J91" s="519"/>
    </row>
    <row r="92" spans="1:23" ht="14.1" customHeight="1">
      <c r="H92" s="555"/>
      <c r="J92" s="519"/>
    </row>
    <row r="93" spans="1:23" ht="14.1" customHeight="1">
      <c r="A93" s="517" t="s">
        <v>797</v>
      </c>
      <c r="E93" s="544"/>
      <c r="F93" s="548">
        <f>F112</f>
        <v>125</v>
      </c>
      <c r="G93" s="531" t="s">
        <v>798</v>
      </c>
      <c r="H93" s="555">
        <f>H112</f>
        <v>119.41</v>
      </c>
      <c r="I93" s="519">
        <f>86*1.008</f>
        <v>86.688000000000002</v>
      </c>
      <c r="J93" s="519">
        <f>I93*1.017</f>
        <v>88.161695999999992</v>
      </c>
      <c r="K93" s="517">
        <f>ROUND(((1+$K$6)*J93),2)</f>
        <v>90.63</v>
      </c>
      <c r="L93" s="517">
        <f>ROUND(((1+$L$6)*K93),2)</f>
        <v>92.53</v>
      </c>
      <c r="M93" s="517">
        <f>ROUND(((1+$L$6)*L93),2)</f>
        <v>94.47</v>
      </c>
      <c r="N93" s="517">
        <f>ROUND(((1+N$6)*M93),2)</f>
        <v>97.12</v>
      </c>
      <c r="O93" s="517">
        <f>ROUND(((1+O$6)*N93),2)</f>
        <v>99.45</v>
      </c>
      <c r="P93" s="517">
        <f t="shared" si="16"/>
        <v>102.14</v>
      </c>
      <c r="Q93" s="517">
        <f t="shared" si="16"/>
        <v>106.02</v>
      </c>
      <c r="R93" s="517">
        <f t="shared" si="16"/>
        <v>109.41</v>
      </c>
      <c r="S93" s="556"/>
      <c r="T93" s="556"/>
      <c r="U93" s="556"/>
      <c r="V93" s="556"/>
      <c r="W93" s="517" t="s">
        <v>751</v>
      </c>
    </row>
    <row r="94" spans="1:23" ht="14.1" customHeight="1">
      <c r="H94" s="555"/>
      <c r="J94" s="519"/>
    </row>
    <row r="95" spans="1:23" ht="14.1" customHeight="1">
      <c r="A95" s="517" t="s">
        <v>799</v>
      </c>
      <c r="E95" s="544"/>
      <c r="F95" s="548">
        <f>F112</f>
        <v>125</v>
      </c>
      <c r="G95" s="531" t="s">
        <v>800</v>
      </c>
      <c r="H95" s="555">
        <f>H112</f>
        <v>119.41</v>
      </c>
      <c r="I95" s="519">
        <f>86*1.008</f>
        <v>86.688000000000002</v>
      </c>
      <c r="J95" s="519">
        <f>I95*1.017</f>
        <v>88.161695999999992</v>
      </c>
      <c r="K95" s="517">
        <f>ROUND(((1+$K$6)*J95),2)</f>
        <v>90.63</v>
      </c>
      <c r="L95" s="517">
        <f>ROUND(((1+$L$6)*K95),2)</f>
        <v>92.53</v>
      </c>
      <c r="M95" s="517">
        <f>ROUND(((1+$L$6)*L95),2)</f>
        <v>94.47</v>
      </c>
      <c r="N95" s="517">
        <f>ROUND(((1+N$6)*M95),2)</f>
        <v>97.12</v>
      </c>
      <c r="O95" s="517">
        <f>ROUND(((1+O$6)*N95),2)</f>
        <v>99.45</v>
      </c>
      <c r="P95" s="517">
        <f t="shared" si="16"/>
        <v>102.14</v>
      </c>
      <c r="Q95" s="517">
        <f t="shared" si="16"/>
        <v>106.02</v>
      </c>
      <c r="R95" s="517">
        <f t="shared" si="16"/>
        <v>109.41</v>
      </c>
      <c r="S95" s="556"/>
      <c r="T95" s="556"/>
      <c r="U95" s="556"/>
      <c r="V95" s="556"/>
      <c r="W95" s="517" t="s">
        <v>751</v>
      </c>
    </row>
    <row r="96" spans="1:23" ht="14.1" customHeight="1">
      <c r="H96" s="562"/>
      <c r="J96" s="519"/>
    </row>
    <row r="97" spans="1:22" ht="14.1" customHeight="1">
      <c r="A97" s="517" t="s">
        <v>801</v>
      </c>
      <c r="H97" s="562"/>
      <c r="J97" s="519"/>
    </row>
    <row r="98" spans="1:22" ht="14.1" customHeight="1">
      <c r="B98" s="517" t="s">
        <v>802</v>
      </c>
      <c r="F98" s="548">
        <f t="shared" ref="F98:F99" si="17">ROUND($V98,0)</f>
        <v>8</v>
      </c>
      <c r="G98" s="531" t="s">
        <v>803</v>
      </c>
      <c r="H98" s="555">
        <f t="shared" ref="H98:H99" si="18">U98</f>
        <v>8.09</v>
      </c>
      <c r="I98" s="519">
        <f>5.83*1.008</f>
        <v>5.8766400000000001</v>
      </c>
      <c r="J98" s="519">
        <f>I98*1.017</f>
        <v>5.9765428799999993</v>
      </c>
      <c r="K98" s="517">
        <f>ROUND(((1+$K$6)*J98),2)</f>
        <v>6.14</v>
      </c>
      <c r="L98" s="517">
        <f>ROUND(((1+$L$6)*K98),2)</f>
        <v>6.27</v>
      </c>
      <c r="M98" s="549">
        <f>ROUND(((1+$L$6)*L98),2)</f>
        <v>6.4</v>
      </c>
      <c r="N98" s="517">
        <f>ROUND(((1+N$6)*M98),2)</f>
        <v>6.58</v>
      </c>
      <c r="O98" s="517">
        <f>ROUND(((1+O$6)*N98),2)</f>
        <v>6.74</v>
      </c>
      <c r="P98" s="517">
        <f t="shared" si="16"/>
        <v>6.92</v>
      </c>
      <c r="Q98" s="517">
        <f t="shared" si="16"/>
        <v>7.18</v>
      </c>
      <c r="R98" s="517">
        <f t="shared" si="16"/>
        <v>7.41</v>
      </c>
      <c r="S98" s="517">
        <f t="shared" si="16"/>
        <v>7.71</v>
      </c>
      <c r="T98" s="517">
        <f t="shared" si="16"/>
        <v>7.79</v>
      </c>
      <c r="U98" s="517">
        <f t="shared" si="16"/>
        <v>8.09</v>
      </c>
      <c r="V98" s="517">
        <f t="shared" si="16"/>
        <v>8.49</v>
      </c>
    </row>
    <row r="99" spans="1:22" ht="14.1" customHeight="1">
      <c r="B99" s="517" t="s">
        <v>804</v>
      </c>
      <c r="F99" s="548">
        <f t="shared" si="17"/>
        <v>8</v>
      </c>
      <c r="G99" s="531" t="s">
        <v>803</v>
      </c>
      <c r="H99" s="555">
        <f t="shared" si="18"/>
        <v>8.09</v>
      </c>
      <c r="I99" s="519">
        <f>5.83*1.008</f>
        <v>5.8766400000000001</v>
      </c>
      <c r="J99" s="519">
        <f>I99*1.017</f>
        <v>5.9765428799999993</v>
      </c>
      <c r="K99" s="517">
        <f>ROUND(((1+$K$6)*J99),2)</f>
        <v>6.14</v>
      </c>
      <c r="L99" s="517">
        <f>ROUND(((1+$L$6)*K99),2)</f>
        <v>6.27</v>
      </c>
      <c r="M99" s="549">
        <f>ROUND(((1+$L$6)*L99),2)</f>
        <v>6.4</v>
      </c>
      <c r="N99" s="517">
        <f>ROUND(((1+N$6)*M99),2)</f>
        <v>6.58</v>
      </c>
      <c r="O99" s="517">
        <f>ROUND(((1+O$6)*N99),2)</f>
        <v>6.74</v>
      </c>
      <c r="P99" s="517">
        <f t="shared" si="16"/>
        <v>6.92</v>
      </c>
      <c r="Q99" s="517">
        <f t="shared" si="16"/>
        <v>7.18</v>
      </c>
      <c r="R99" s="517">
        <f t="shared" si="16"/>
        <v>7.41</v>
      </c>
      <c r="S99" s="517">
        <f t="shared" si="16"/>
        <v>7.71</v>
      </c>
      <c r="T99" s="517">
        <f t="shared" si="16"/>
        <v>7.79</v>
      </c>
      <c r="U99" s="517">
        <f t="shared" si="16"/>
        <v>8.09</v>
      </c>
      <c r="V99" s="517">
        <f t="shared" si="16"/>
        <v>8.49</v>
      </c>
    </row>
    <row r="100" spans="1:22" ht="14.1" customHeight="1">
      <c r="H100" s="562"/>
      <c r="J100" s="519"/>
    </row>
    <row r="101" spans="1:22" ht="14.1" customHeight="1">
      <c r="A101" s="517" t="s">
        <v>805</v>
      </c>
      <c r="H101" s="562"/>
      <c r="J101" s="519"/>
    </row>
    <row r="102" spans="1:22" ht="14.1" customHeight="1">
      <c r="B102" s="517" t="s">
        <v>806</v>
      </c>
      <c r="H102" s="562"/>
      <c r="J102" s="519"/>
    </row>
    <row r="103" spans="1:22" ht="14.1" customHeight="1">
      <c r="B103" s="517" t="s">
        <v>807</v>
      </c>
      <c r="H103" s="562"/>
      <c r="J103" s="519"/>
    </row>
    <row r="104" spans="1:22" ht="14.1" customHeight="1">
      <c r="B104" s="517" t="s">
        <v>808</v>
      </c>
      <c r="H104" s="562"/>
      <c r="J104" s="519"/>
    </row>
    <row r="105" spans="1:22" ht="14.1" customHeight="1">
      <c r="B105" s="517" t="s">
        <v>809</v>
      </c>
      <c r="H105" s="562"/>
      <c r="J105" s="519"/>
    </row>
    <row r="106" spans="1:22" ht="14.1" customHeight="1">
      <c r="A106" s="563"/>
      <c r="B106" s="563"/>
      <c r="C106" s="563"/>
      <c r="D106" s="563"/>
      <c r="E106" s="563"/>
      <c r="F106" s="564"/>
      <c r="G106" s="525"/>
      <c r="H106" s="562"/>
      <c r="J106" s="519"/>
    </row>
    <row r="107" spans="1:22" ht="14.1" customHeight="1">
      <c r="H107" s="562"/>
      <c r="J107" s="519"/>
    </row>
    <row r="108" spans="1:22" ht="14.1" customHeight="1">
      <c r="A108" s="517" t="s">
        <v>810</v>
      </c>
      <c r="H108" s="562"/>
      <c r="J108" s="519"/>
    </row>
    <row r="109" spans="1:22" ht="14.1" customHeight="1">
      <c r="B109" s="517" t="s">
        <v>811</v>
      </c>
      <c r="H109" s="562"/>
      <c r="J109" s="519"/>
    </row>
    <row r="110" spans="1:22" ht="14.1" customHeight="1">
      <c r="B110" s="517" t="s">
        <v>812</v>
      </c>
      <c r="H110" s="562"/>
      <c r="J110" s="519"/>
    </row>
    <row r="111" spans="1:22" ht="14.1" customHeight="1">
      <c r="B111" s="517" t="s">
        <v>813</v>
      </c>
      <c r="H111" s="562"/>
      <c r="J111" s="519"/>
    </row>
    <row r="112" spans="1:22" ht="14.1" customHeight="1">
      <c r="C112" s="517" t="s">
        <v>814</v>
      </c>
      <c r="E112" s="544"/>
      <c r="F112" s="548">
        <f>ROUND($V112,0)</f>
        <v>125</v>
      </c>
      <c r="G112" s="531" t="s">
        <v>635</v>
      </c>
      <c r="H112" s="555">
        <f>U112</f>
        <v>119.41</v>
      </c>
      <c r="I112" s="519">
        <f>86*1.008</f>
        <v>86.688000000000002</v>
      </c>
      <c r="J112" s="519">
        <f>I112*1.017</f>
        <v>88.161695999999992</v>
      </c>
      <c r="K112" s="517">
        <f>ROUND(((1+$K$6)*J112),2)</f>
        <v>90.63</v>
      </c>
      <c r="L112" s="517">
        <f>ROUND(((1+$L$6)*K112),2)</f>
        <v>92.53</v>
      </c>
      <c r="M112" s="517">
        <f>ROUND(((1+$L$6)*L112),2)</f>
        <v>94.47</v>
      </c>
      <c r="N112" s="517">
        <f>ROUND(((1+N$6)*M112),2)</f>
        <v>97.12</v>
      </c>
      <c r="O112" s="517">
        <f>ROUND(((1+O$6)*N112),2)</f>
        <v>99.45</v>
      </c>
      <c r="P112" s="517">
        <f t="shared" si="16"/>
        <v>102.14</v>
      </c>
      <c r="Q112" s="517">
        <f t="shared" si="16"/>
        <v>106.02</v>
      </c>
      <c r="R112" s="517">
        <f t="shared" si="16"/>
        <v>109.41</v>
      </c>
      <c r="S112" s="517">
        <f t="shared" si="16"/>
        <v>113.79</v>
      </c>
      <c r="T112" s="517">
        <f t="shared" si="16"/>
        <v>115.04</v>
      </c>
      <c r="U112" s="517">
        <f t="shared" si="16"/>
        <v>119.41</v>
      </c>
      <c r="V112" s="517">
        <f t="shared" si="16"/>
        <v>125.38</v>
      </c>
    </row>
    <row r="113" spans="3:22" ht="14.1" customHeight="1">
      <c r="C113" s="517" t="s">
        <v>815</v>
      </c>
      <c r="E113" s="544"/>
      <c r="F113" s="548">
        <f>ROUND($V113,0)</f>
        <v>95</v>
      </c>
      <c r="G113" s="531" t="s">
        <v>635</v>
      </c>
      <c r="H113" s="555">
        <f t="shared" ref="H113:H114" si="19">U113</f>
        <v>90.25</v>
      </c>
      <c r="I113" s="519">
        <f>65*1.008</f>
        <v>65.52</v>
      </c>
      <c r="J113" s="519">
        <f>I113*1.017</f>
        <v>66.633839999999992</v>
      </c>
      <c r="K113" s="517">
        <f>ROUND(((1+$K$6)*J113),2)</f>
        <v>68.5</v>
      </c>
      <c r="L113" s="517">
        <f>ROUND(((1+$L$6)*K113),2)</f>
        <v>69.94</v>
      </c>
      <c r="M113" s="517">
        <f>ROUND(((1+$L$6)*L113),2)</f>
        <v>71.41</v>
      </c>
      <c r="N113" s="517">
        <f>ROUND(((1+N$6)*M113),2)</f>
        <v>73.41</v>
      </c>
      <c r="O113" s="517">
        <f>ROUND(((1+O$6)*N113),2)</f>
        <v>75.17</v>
      </c>
      <c r="P113" s="517">
        <f t="shared" si="16"/>
        <v>77.2</v>
      </c>
      <c r="Q113" s="517">
        <f t="shared" si="16"/>
        <v>80.13</v>
      </c>
      <c r="R113" s="517">
        <f t="shared" si="16"/>
        <v>82.69</v>
      </c>
      <c r="S113" s="517">
        <f t="shared" si="16"/>
        <v>86</v>
      </c>
      <c r="T113" s="517">
        <f t="shared" si="16"/>
        <v>86.95</v>
      </c>
      <c r="U113" s="517">
        <f t="shared" si="16"/>
        <v>90.25</v>
      </c>
      <c r="V113" s="517">
        <f t="shared" si="16"/>
        <v>94.76</v>
      </c>
    </row>
    <row r="114" spans="3:22" ht="14.1" customHeight="1">
      <c r="C114" s="517" t="s">
        <v>816</v>
      </c>
      <c r="E114" s="544"/>
      <c r="F114" s="548">
        <f>ROUND($V114,0)</f>
        <v>343</v>
      </c>
      <c r="G114" s="531" t="s">
        <v>635</v>
      </c>
      <c r="H114" s="555">
        <f t="shared" si="19"/>
        <v>327</v>
      </c>
      <c r="J114" s="519"/>
      <c r="S114" s="517">
        <v>327</v>
      </c>
      <c r="T114" s="517">
        <v>327</v>
      </c>
      <c r="U114" s="517">
        <v>327</v>
      </c>
      <c r="V114" s="517">
        <f t="shared" ref="V114" si="20">ROUND(((1+V$6)*U114),2)</f>
        <v>343.35</v>
      </c>
    </row>
    <row r="115" spans="3:22" ht="14.1" customHeight="1">
      <c r="J115" s="519"/>
    </row>
    <row r="116" spans="3:22" ht="14.1" customHeight="1">
      <c r="J116" s="519"/>
    </row>
    <row r="117" spans="3:22" ht="14.1" customHeight="1">
      <c r="J117" s="519"/>
    </row>
    <row r="118" spans="3:22" ht="14.1" customHeight="1">
      <c r="J118" s="519"/>
    </row>
    <row r="119" spans="3:22" ht="14.1" customHeight="1">
      <c r="J119" s="519"/>
    </row>
    <row r="120" spans="3:22" ht="14.1" customHeight="1">
      <c r="J120" s="519"/>
    </row>
    <row r="121" spans="3:22" ht="14.1" customHeight="1">
      <c r="J121" s="519"/>
    </row>
    <row r="122" spans="3:22" ht="14.1" customHeight="1">
      <c r="J122" s="519"/>
    </row>
    <row r="123" spans="3:22" ht="14.1" customHeight="1">
      <c r="J123" s="519"/>
    </row>
    <row r="124" spans="3:22" ht="14.1" customHeight="1">
      <c r="J124" s="519"/>
    </row>
  </sheetData>
  <mergeCells count="1">
    <mergeCell ref="F1:G2"/>
  </mergeCells>
  <pageMargins left="0.5" right="0.5" top="0.5" bottom="0.5" header="0.25" footer="0.25"/>
  <pageSetup pageOrder="overThenDown" orientation="portrait" r:id="rId1"/>
  <headerFooter>
    <oddFooter>&amp;R&amp;"Arial,Regular"&amp;10&amp;A, &amp;P of &amp;N</oddFooter>
  </headerFooter>
  <rowBreaks count="1" manualBreakCount="1">
    <brk id="100"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C53280-FFF1-454A-9F54-BCE99C1A7691}">
  <dimension ref="A1"/>
  <sheetViews>
    <sheetView workbookViewId="0"/>
  </sheetViews>
  <sheetFormatPr defaultRowHeight="12.7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5015347EBC46842BF7827C8F0E1719D" ma:contentTypeVersion="11" ma:contentTypeDescription="Create a new document." ma:contentTypeScope="" ma:versionID="3f20fc635996e064e99fdc27cf648aed">
  <xsd:schema xmlns:xsd="http://www.w3.org/2001/XMLSchema" xmlns:xs="http://www.w3.org/2001/XMLSchema" xmlns:p="http://schemas.microsoft.com/office/2006/metadata/properties" xmlns:ns2="6195ae53-5b06-45c3-a1db-b6d5b3e3eb2b" xmlns:ns3="5f9fb33d-c228-4f57-98b4-4762a402619d" targetNamespace="http://schemas.microsoft.com/office/2006/metadata/properties" ma:root="true" ma:fieldsID="0bdd718f75f09e08a1de346e33881b56" ns2:_="" ns3:_="">
    <xsd:import namespace="6195ae53-5b06-45c3-a1db-b6d5b3e3eb2b"/>
    <xsd:import namespace="5f9fb33d-c228-4f57-98b4-4762a402619d"/>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DateTaken" minOccurs="0"/>
                <xsd:element ref="ns3:MediaLengthInSeconds" minOccurs="0"/>
                <xsd:element ref="ns3:MediaServiceAutoTags" minOccurs="0"/>
                <xsd:element ref="ns3:MediaServiceGenerationTime" minOccurs="0"/>
                <xsd:element ref="ns3:MediaServiceEventHashCode" minOccurs="0"/>
                <xsd:element ref="ns3:MediaServiceLocation"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195ae53-5b06-45c3-a1db-b6d5b3e3eb2b"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5f9fb33d-c228-4f57-98b4-4762a402619d"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340FEBD-6709-401E-92D4-292D1F49DA7E}">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3D27F892-7E42-4AE3-9E9F-10658C860359}">
  <ds:schemaRefs>
    <ds:schemaRef ds:uri="http://schemas.microsoft.com/sharepoint/v3/contenttype/forms"/>
  </ds:schemaRefs>
</ds:datastoreItem>
</file>

<file path=customXml/itemProps3.xml><?xml version="1.0" encoding="utf-8"?>
<ds:datastoreItem xmlns:ds="http://schemas.openxmlformats.org/officeDocument/2006/customXml" ds:itemID="{D974F1CE-F170-4B0D-956C-481B09CDAB2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195ae53-5b06-45c3-a1db-b6d5b3e3eb2b"/>
    <ds:schemaRef ds:uri="5f9fb33d-c228-4f57-98b4-4762a402619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16</vt:i4>
      </vt:variant>
    </vt:vector>
  </HeadingPairs>
  <TitlesOfParts>
    <vt:vector size="31" baseType="lpstr">
      <vt:lpstr>Data Sheet</vt:lpstr>
      <vt:lpstr>Summary Sheet</vt:lpstr>
      <vt:lpstr>Parks &amp; Rec</vt:lpstr>
      <vt:lpstr>Public Works</vt:lpstr>
      <vt:lpstr>Police</vt:lpstr>
      <vt:lpstr>Fire</vt:lpstr>
      <vt:lpstr>WUSD</vt:lpstr>
      <vt:lpstr>Housing In-Lieu </vt:lpstr>
      <vt:lpstr>Tree Mitigation</vt:lpstr>
      <vt:lpstr>Engineering Svs Fees</vt:lpstr>
      <vt:lpstr>FY22-23 FEE Worksheet</vt:lpstr>
      <vt:lpstr>FY22-23 Inclusionary Fee</vt:lpstr>
      <vt:lpstr>IV. Engineering</vt:lpstr>
      <vt:lpstr>VI. Public Works</vt:lpstr>
      <vt:lpstr>Sheet1</vt:lpstr>
      <vt:lpstr>'Data Sheet'!Print_Area</vt:lpstr>
      <vt:lpstr>Fire!Print_Area</vt:lpstr>
      <vt:lpstr>'FY22-23 FEE Worksheet'!Print_Area</vt:lpstr>
      <vt:lpstr>'FY22-23 Inclusionary Fee'!Print_Area</vt:lpstr>
      <vt:lpstr>'IV. Engineering'!Print_Area</vt:lpstr>
      <vt:lpstr>'Parks &amp; Rec'!Print_Area</vt:lpstr>
      <vt:lpstr>Police!Print_Area</vt:lpstr>
      <vt:lpstr>'Public Works'!Print_Area</vt:lpstr>
      <vt:lpstr>'Summary Sheet'!Print_Area</vt:lpstr>
      <vt:lpstr>'VI. Public Works'!Print_Area</vt:lpstr>
      <vt:lpstr>WUSD!Print_Area</vt:lpstr>
      <vt:lpstr>'Data Sheet'!Print_Titles</vt:lpstr>
      <vt:lpstr>'FY22-23 FEE Worksheet'!Print_Titles</vt:lpstr>
      <vt:lpstr>'IV. Engineering'!Print_Titles</vt:lpstr>
      <vt:lpstr>'Public Works'!Print_Titles</vt:lpstr>
      <vt:lpstr>'VI. Public Works'!Print_Titles</vt:lpstr>
    </vt:vector>
  </TitlesOfParts>
  <Company>Town of Windsor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Alice Cassella</dc:creator>
  <cp:lastModifiedBy>Kristina Owens</cp:lastModifiedBy>
  <cp:lastPrinted>2022-06-21T16:54:08Z</cp:lastPrinted>
  <dcterms:created xsi:type="dcterms:W3CDTF">2002-06-12T00:15:46Z</dcterms:created>
  <dcterms:modified xsi:type="dcterms:W3CDTF">2022-07-26T17:02:48Z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0x01010005015347EBC46842BF7827C8F0E1719D</vt:lpwstr>
  </property>
</Properties>
</file>