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ownofwindsor.sharepoint.com/sites/FinDiv/Shared Documents/Finance Manager/Fees/Development Impact Fees/FY2026-27/"/>
    </mc:Choice>
  </mc:AlternateContent>
  <xr:revisionPtr revIDLastSave="612" documentId="8_{06556608-7F08-4192-BFA0-C5929B4D77AD}" xr6:coauthVersionLast="47" xr6:coauthVersionMax="47" xr10:uidLastSave="{E6ABE351-B9C6-4242-AE9E-2A5DD417E73D}"/>
  <bookViews>
    <workbookView xWindow="-108" yWindow="-108" windowWidth="23256" windowHeight="13896" tabRatio="1000" activeTab="1" xr2:uid="{00000000-000D-0000-FFFF-FFFF00000000}"/>
  </bookViews>
  <sheets>
    <sheet name="Data Sheet" sheetId="21" r:id="rId1"/>
    <sheet name="Summary Sheet" sheetId="10" r:id="rId2"/>
    <sheet name="Public Works" sheetId="17" r:id="rId3"/>
    <sheet name="Parks &amp; Rec" sheetId="12" r:id="rId4"/>
    <sheet name="Police" sheetId="14" r:id="rId5"/>
    <sheet name="Fire" sheetId="16" r:id="rId6"/>
    <sheet name="WUSD" sheetId="20" r:id="rId7"/>
    <sheet name="Housing" sheetId="35" state="hidden" r:id="rId8"/>
    <sheet name="tree" sheetId="36" state="hidden" r:id="rId9"/>
    <sheet name="FY26-27 FEE Worksheet" sheetId="26" state="hidden" r:id="rId10"/>
  </sheets>
  <externalReferences>
    <externalReference r:id="rId11"/>
  </externalReferences>
  <definedNames>
    <definedName name="_xlnm.Print_Area" localSheetId="0">'Data Sheet'!$A$1:$C$94</definedName>
    <definedName name="_xlnm.Print_Area" localSheetId="5">Fire!$A$1:$H$22</definedName>
    <definedName name="_xlnm.Print_Area" localSheetId="9">'FY26-27 FEE Worksheet'!$A$1:$N$273</definedName>
    <definedName name="_xlnm.Print_Area" localSheetId="3">'Parks &amp; Rec'!$A$1:$H$33</definedName>
    <definedName name="_xlnm.Print_Area" localSheetId="4">Police!$A$1:$H$16</definedName>
    <definedName name="_xlnm.Print_Area" localSheetId="2">'Public Works'!$A$1:$H$137</definedName>
    <definedName name="_xlnm.Print_Area" localSheetId="1">'Summary Sheet'!$A$1:$D$31</definedName>
    <definedName name="_xlnm.Print_Area" localSheetId="6">WUSD!$A$1:$E$18</definedName>
    <definedName name="_xlnm.Print_Titles" localSheetId="0">'Data Sheet'!$1:$11</definedName>
    <definedName name="_xlnm.Print_Titles" localSheetId="9">'FY26-27 FEE Worksheet'!$1:$2</definedName>
    <definedName name="_xlnm.Print_Titles" localSheetId="2">'Public Works'!$1:$12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10" l="1"/>
  <c r="D19" i="10"/>
  <c r="E80" i="36"/>
  <c r="C6" i="36"/>
  <c r="C5" i="36"/>
  <c r="C4" i="36"/>
  <c r="C3" i="36"/>
  <c r="M47" i="35"/>
  <c r="E13" i="35" s="1"/>
  <c r="M46" i="35"/>
  <c r="F46" i="35"/>
  <c r="M45" i="35"/>
  <c r="F45" i="35"/>
  <c r="M44" i="35"/>
  <c r="F44" i="35"/>
  <c r="M43" i="35"/>
  <c r="F43" i="35"/>
  <c r="M42" i="35"/>
  <c r="F42" i="35"/>
  <c r="M41" i="35"/>
  <c r="F41" i="35"/>
  <c r="M40" i="35"/>
  <c r="F40" i="35"/>
  <c r="M39" i="35"/>
  <c r="F39" i="35"/>
  <c r="M38" i="35"/>
  <c r="F38" i="35"/>
  <c r="M37" i="35"/>
  <c r="F37" i="35"/>
  <c r="M36" i="35"/>
  <c r="F36" i="35"/>
  <c r="M35" i="35"/>
  <c r="F35" i="35"/>
  <c r="M34" i="35"/>
  <c r="F34" i="35"/>
  <c r="M33" i="35"/>
  <c r="F33" i="35"/>
  <c r="M32" i="35"/>
  <c r="F32" i="35"/>
  <c r="M31" i="35"/>
  <c r="F31" i="35"/>
  <c r="M30" i="35"/>
  <c r="F30" i="35"/>
  <c r="M29" i="35"/>
  <c r="F29" i="35"/>
  <c r="M28" i="35"/>
  <c r="F28" i="35"/>
  <c r="M27" i="35"/>
  <c r="F27" i="35"/>
  <c r="M26" i="35"/>
  <c r="F26" i="35"/>
  <c r="M25" i="35"/>
  <c r="F25" i="35"/>
  <c r="M24" i="35"/>
  <c r="F24" i="35"/>
  <c r="M23" i="35"/>
  <c r="F23" i="35"/>
  <c r="M22" i="35"/>
  <c r="F22" i="35"/>
  <c r="M21" i="35"/>
  <c r="F21" i="35"/>
  <c r="M20" i="35"/>
  <c r="F20" i="35"/>
  <c r="M19" i="35"/>
  <c r="F19" i="35"/>
  <c r="M18" i="35"/>
  <c r="F18" i="35"/>
  <c r="M17" i="35"/>
  <c r="F17" i="35"/>
  <c r="M16" i="35"/>
  <c r="F16" i="35"/>
  <c r="D8" i="35"/>
  <c r="D7" i="35"/>
  <c r="D6" i="35"/>
  <c r="D5" i="35"/>
  <c r="D4" i="35"/>
  <c r="D38" i="26"/>
  <c r="K269" i="26"/>
  <c r="K268" i="26"/>
  <c r="K267" i="26"/>
  <c r="B19" i="17"/>
  <c r="B87" i="17" l="1"/>
  <c r="D114" i="17"/>
  <c r="D115" i="17"/>
  <c r="D113" i="17"/>
  <c r="B11" i="16"/>
  <c r="N75" i="17" l="1"/>
  <c r="O75" i="17" s="1"/>
  <c r="N74" i="17"/>
  <c r="O74" i="17" s="1"/>
  <c r="N73" i="17"/>
  <c r="O73" i="17" s="1"/>
  <c r="N72" i="17"/>
  <c r="O72" i="17" s="1"/>
  <c r="N47" i="17"/>
  <c r="N44" i="17"/>
  <c r="B43" i="17"/>
  <c r="C117" i="26" l="1"/>
  <c r="B117" i="26"/>
  <c r="D103" i="26"/>
  <c r="D7" i="26"/>
  <c r="E7" i="26" s="1"/>
  <c r="K67" i="26" s="1"/>
  <c r="D6" i="26"/>
  <c r="C10" i="26"/>
  <c r="B9" i="26"/>
  <c r="B75" i="17" l="1"/>
  <c r="B76" i="17"/>
  <c r="B10" i="20"/>
  <c r="E10" i="20" s="1"/>
  <c r="B11" i="20"/>
  <c r="E11" i="20" s="1"/>
  <c r="B12" i="16"/>
  <c r="B15" i="16"/>
  <c r="B18" i="17"/>
  <c r="K243" i="26"/>
  <c r="K217" i="26"/>
  <c r="K140" i="26"/>
  <c r="K146" i="26"/>
  <c r="K126" i="26"/>
  <c r="K61" i="26"/>
  <c r="K30" i="26"/>
  <c r="K32" i="26"/>
  <c r="K40" i="26"/>
  <c r="D196" i="26"/>
  <c r="E180" i="26"/>
  <c r="C9" i="26"/>
  <c r="D9" i="26" s="1"/>
  <c r="E9" i="26" s="1"/>
  <c r="D266" i="26"/>
  <c r="D263" i="26"/>
  <c r="D27" i="26"/>
  <c r="H27" i="26" s="1"/>
  <c r="B204" i="26"/>
  <c r="B3" i="20"/>
  <c r="P75" i="17"/>
  <c r="C72" i="17" s="1"/>
  <c r="P72" i="17"/>
  <c r="N46" i="17"/>
  <c r="O46" i="17" s="1"/>
  <c r="P46" i="17" s="1"/>
  <c r="D45" i="17" s="1"/>
  <c r="N45" i="17"/>
  <c r="O45" i="17" s="1"/>
  <c r="P73" i="17"/>
  <c r="P74" i="17"/>
  <c r="C71" i="17" s="1"/>
  <c r="D272" i="26"/>
  <c r="D271" i="26"/>
  <c r="D270" i="26"/>
  <c r="D267" i="26"/>
  <c r="D265" i="26"/>
  <c r="D264" i="26"/>
  <c r="B258" i="26"/>
  <c r="C257" i="26" s="1"/>
  <c r="C258" i="26" s="1"/>
  <c r="B250" i="26"/>
  <c r="B253" i="26"/>
  <c r="C252" i="26"/>
  <c r="K236" i="26"/>
  <c r="B233" i="26"/>
  <c r="B227" i="26"/>
  <c r="B225" i="26"/>
  <c r="D220" i="26"/>
  <c r="D219" i="26"/>
  <c r="D218" i="26"/>
  <c r="D216" i="26"/>
  <c r="D215" i="26"/>
  <c r="D214" i="26"/>
  <c r="D213" i="26"/>
  <c r="D212" i="26"/>
  <c r="K210" i="26"/>
  <c r="B206" i="26"/>
  <c r="E200" i="26"/>
  <c r="D200" i="26"/>
  <c r="E199" i="26"/>
  <c r="D199" i="26"/>
  <c r="D198" i="26"/>
  <c r="D197" i="26"/>
  <c r="K194" i="26"/>
  <c r="C191" i="26"/>
  <c r="B191" i="26"/>
  <c r="E184" i="26"/>
  <c r="E183" i="26"/>
  <c r="E182" i="26"/>
  <c r="E181" i="26"/>
  <c r="K178" i="26"/>
  <c r="C175" i="26"/>
  <c r="B175" i="26"/>
  <c r="D168" i="26"/>
  <c r="D167" i="26"/>
  <c r="D166" i="26"/>
  <c r="D165" i="26"/>
  <c r="D164" i="26"/>
  <c r="K162" i="26"/>
  <c r="C159" i="26"/>
  <c r="B159" i="26"/>
  <c r="D151" i="26"/>
  <c r="D145" i="26" s="1"/>
  <c r="D139" i="26" s="1"/>
  <c r="D150" i="26"/>
  <c r="D149" i="26"/>
  <c r="D148" i="26"/>
  <c r="D147" i="26"/>
  <c r="D135" i="26" s="1"/>
  <c r="E145" i="26"/>
  <c r="E144" i="26"/>
  <c r="E143" i="26"/>
  <c r="E142" i="26"/>
  <c r="E141" i="26"/>
  <c r="E135" i="26" s="1"/>
  <c r="E139" i="26"/>
  <c r="E138" i="26"/>
  <c r="E137" i="26"/>
  <c r="E136" i="26"/>
  <c r="D128" i="26"/>
  <c r="D127" i="26"/>
  <c r="D125" i="26"/>
  <c r="D124" i="26"/>
  <c r="K122" i="26"/>
  <c r="B116" i="26"/>
  <c r="K101" i="26"/>
  <c r="B98" i="26"/>
  <c r="C97" i="26"/>
  <c r="D63" i="26"/>
  <c r="D62" i="26"/>
  <c r="D60" i="26"/>
  <c r="D59" i="26"/>
  <c r="D58" i="26"/>
  <c r="H58" i="26" s="1"/>
  <c r="D43" i="26"/>
  <c r="D42" i="26"/>
  <c r="D41" i="26"/>
  <c r="D39" i="26"/>
  <c r="D37" i="26"/>
  <c r="D36" i="26"/>
  <c r="D35" i="26"/>
  <c r="D34" i="26"/>
  <c r="D33" i="26"/>
  <c r="D31" i="26"/>
  <c r="D29" i="26"/>
  <c r="D28" i="26"/>
  <c r="K24" i="26"/>
  <c r="K56" i="26" s="1"/>
  <c r="K65" i="26" s="1"/>
  <c r="B22" i="26"/>
  <c r="C20" i="26"/>
  <c r="D10" i="26"/>
  <c r="E10" i="26" s="1"/>
  <c r="D8" i="26"/>
  <c r="E6" i="26"/>
  <c r="H103" i="26" s="1"/>
  <c r="C231" i="26"/>
  <c r="C230" i="26"/>
  <c r="D238" i="26"/>
  <c r="C96" i="26"/>
  <c r="E111" i="26"/>
  <c r="I111" i="26" s="1"/>
  <c r="C21" i="26"/>
  <c r="C232" i="26"/>
  <c r="B119" i="26"/>
  <c r="B207" i="26"/>
  <c r="C206" i="26"/>
  <c r="C255" i="26"/>
  <c r="E104" i="26"/>
  <c r="I104" i="26" s="1"/>
  <c r="B228" i="26"/>
  <c r="C227" i="26"/>
  <c r="C256" i="26"/>
  <c r="C19" i="26"/>
  <c r="C22" i="26"/>
  <c r="C95" i="26"/>
  <c r="E242" i="26"/>
  <c r="E244" i="26"/>
  <c r="E245" i="26"/>
  <c r="E246" i="26"/>
  <c r="E238" i="26"/>
  <c r="E239" i="26"/>
  <c r="E240" i="26"/>
  <c r="E241" i="26"/>
  <c r="C226" i="26"/>
  <c r="C225" i="26"/>
  <c r="C118" i="26"/>
  <c r="C116" i="26"/>
  <c r="D109" i="26"/>
  <c r="E110" i="26"/>
  <c r="I110" i="26" s="1"/>
  <c r="D108" i="26"/>
  <c r="E109" i="26"/>
  <c r="I109" i="26"/>
  <c r="E267" i="26"/>
  <c r="D107" i="26"/>
  <c r="E108" i="26"/>
  <c r="I108" i="26" s="1"/>
  <c r="D106" i="26"/>
  <c r="E107" i="26"/>
  <c r="I107" i="26" s="1"/>
  <c r="C250" i="26"/>
  <c r="E265" i="26"/>
  <c r="E272" i="26"/>
  <c r="C98" i="26"/>
  <c r="D105" i="26"/>
  <c r="E106" i="26"/>
  <c r="I106" i="26" s="1"/>
  <c r="C251" i="26"/>
  <c r="D104" i="26"/>
  <c r="F104" i="26" s="1"/>
  <c r="E105" i="26"/>
  <c r="F105" i="26" s="1"/>
  <c r="I105" i="26"/>
  <c r="E264" i="26"/>
  <c r="E271" i="26"/>
  <c r="E103" i="26"/>
  <c r="I103" i="26" s="1"/>
  <c r="E263" i="26"/>
  <c r="E270" i="26"/>
  <c r="E266" i="26"/>
  <c r="C204" i="26"/>
  <c r="C205" i="26"/>
  <c r="E216" i="26"/>
  <c r="D110" i="26"/>
  <c r="D111" i="26"/>
  <c r="C253" i="26"/>
  <c r="C207" i="26"/>
  <c r="E214" i="26"/>
  <c r="E220" i="26"/>
  <c r="E215" i="26"/>
  <c r="E212" i="26"/>
  <c r="C119" i="26"/>
  <c r="D241" i="26"/>
  <c r="D242" i="26"/>
  <c r="D244" i="26"/>
  <c r="D245" i="26"/>
  <c r="D246" i="26"/>
  <c r="F246" i="26" s="1"/>
  <c r="D239" i="26"/>
  <c r="F239" i="26" s="1"/>
  <c r="D240" i="26"/>
  <c r="C233" i="26"/>
  <c r="C228" i="26"/>
  <c r="E213" i="26"/>
  <c r="E219" i="26"/>
  <c r="E218" i="26"/>
  <c r="E37" i="17"/>
  <c r="B12" i="20"/>
  <c r="E12" i="20" s="1"/>
  <c r="B10" i="17"/>
  <c r="B13" i="21"/>
  <c r="B11" i="12" s="1"/>
  <c r="B15" i="12" s="1"/>
  <c r="B83" i="17"/>
  <c r="B50" i="17"/>
  <c r="B7" i="16"/>
  <c r="B29" i="12"/>
  <c r="B28" i="12"/>
  <c r="B25" i="12"/>
  <c r="B24" i="12"/>
  <c r="B21" i="12"/>
  <c r="B20" i="12"/>
  <c r="B17" i="12"/>
  <c r="B16" i="12"/>
  <c r="B12" i="12"/>
  <c r="B14" i="16"/>
  <c r="B13" i="16"/>
  <c r="B6" i="20"/>
  <c r="B5" i="20"/>
  <c r="B4" i="20"/>
  <c r="B6" i="16"/>
  <c r="B5" i="16"/>
  <c r="B4" i="16"/>
  <c r="B3" i="16"/>
  <c r="B6" i="14"/>
  <c r="B5" i="14"/>
  <c r="B4" i="14"/>
  <c r="B3" i="14"/>
  <c r="B8" i="17"/>
  <c r="E35" i="17" s="1"/>
  <c r="B3" i="10"/>
  <c r="B4" i="10"/>
  <c r="B5" i="10"/>
  <c r="B6" i="10"/>
  <c r="B78" i="17"/>
  <c r="B77" i="17"/>
  <c r="B65" i="17"/>
  <c r="C46" i="17"/>
  <c r="C45" i="17"/>
  <c r="B28" i="17"/>
  <c r="B46" i="17"/>
  <c r="B45" i="17"/>
  <c r="B44" i="17"/>
  <c r="B109" i="17"/>
  <c r="B108" i="17"/>
  <c r="B107" i="17"/>
  <c r="B106" i="17"/>
  <c r="B104" i="17"/>
  <c r="B105" i="17"/>
  <c r="B103" i="17"/>
  <c r="B101" i="17"/>
  <c r="B100" i="17"/>
  <c r="B99" i="17"/>
  <c r="B98" i="17"/>
  <c r="B97" i="17"/>
  <c r="B96" i="17"/>
  <c r="B95" i="17"/>
  <c r="B93" i="17"/>
  <c r="B92" i="17"/>
  <c r="B91" i="17"/>
  <c r="B90" i="17"/>
  <c r="B89" i="17"/>
  <c r="B88" i="17"/>
  <c r="B85" i="17"/>
  <c r="B84" i="17"/>
  <c r="B82" i="17"/>
  <c r="B72" i="17"/>
  <c r="B71" i="17"/>
  <c r="B64" i="17"/>
  <c r="B63" i="17"/>
  <c r="B60" i="17"/>
  <c r="B59" i="17"/>
  <c r="B58" i="17"/>
  <c r="B57" i="17"/>
  <c r="B56" i="17"/>
  <c r="B55" i="17"/>
  <c r="B54" i="17"/>
  <c r="B52" i="17"/>
  <c r="B51" i="17"/>
  <c r="B49" i="17"/>
  <c r="B33" i="17"/>
  <c r="B32" i="17"/>
  <c r="B31" i="17"/>
  <c r="B30" i="17"/>
  <c r="B29" i="17"/>
  <c r="B26" i="17"/>
  <c r="B25" i="17"/>
  <c r="B20" i="17"/>
  <c r="B17" i="16"/>
  <c r="B16" i="16"/>
  <c r="B15" i="14"/>
  <c r="B14" i="14"/>
  <c r="B13" i="14"/>
  <c r="B12" i="14"/>
  <c r="B11" i="14"/>
  <c r="B32" i="12"/>
  <c r="B31" i="12"/>
  <c r="B30" i="12"/>
  <c r="B13" i="12"/>
  <c r="B9" i="17"/>
  <c r="B7" i="17"/>
  <c r="B6" i="17"/>
  <c r="B5" i="17"/>
  <c r="B4" i="17"/>
  <c r="B3" i="17"/>
  <c r="B6" i="12"/>
  <c r="B5" i="12"/>
  <c r="B4" i="12"/>
  <c r="B3" i="12"/>
  <c r="E36" i="17"/>
  <c r="C42" i="17" l="1"/>
  <c r="F238" i="26"/>
  <c r="J238" i="26" s="1"/>
  <c r="B42" i="17"/>
  <c r="B10" i="14"/>
  <c r="B17" i="17"/>
  <c r="F111" i="26"/>
  <c r="F103" i="26"/>
  <c r="J103" i="26" s="1"/>
  <c r="F108" i="26"/>
  <c r="J108" i="26" s="1"/>
  <c r="F72" i="17"/>
  <c r="O47" i="17"/>
  <c r="P47" i="17" s="1"/>
  <c r="D46" i="17" s="1"/>
  <c r="F46" i="17" s="1"/>
  <c r="F45" i="17"/>
  <c r="P45" i="17"/>
  <c r="D44" i="17" s="1"/>
  <c r="F44" i="17" s="1"/>
  <c r="O44" i="17"/>
  <c r="P44" i="17" s="1"/>
  <c r="D43" i="17" s="1"/>
  <c r="F43" i="17" s="1"/>
  <c r="B70" i="17"/>
  <c r="F70" i="17" s="1"/>
  <c r="F71" i="17"/>
  <c r="B24" i="17"/>
  <c r="B23" i="12"/>
  <c r="B27" i="12"/>
  <c r="E13" i="20"/>
  <c r="D24" i="10" s="1"/>
  <c r="H263" i="26"/>
  <c r="K263" i="26" s="1"/>
  <c r="C11" i="16" s="1"/>
  <c r="F244" i="26"/>
  <c r="J244" i="26" s="1"/>
  <c r="F245" i="26"/>
  <c r="J245" i="26" s="1"/>
  <c r="F109" i="26"/>
  <c r="J109" i="26" s="1"/>
  <c r="F110" i="26"/>
  <c r="F107" i="26"/>
  <c r="J107" i="26" s="1"/>
  <c r="F106" i="26"/>
  <c r="J106" i="26" s="1"/>
  <c r="B19" i="12"/>
  <c r="J42" i="26"/>
  <c r="J219" i="26"/>
  <c r="J36" i="26"/>
  <c r="J37" i="26"/>
  <c r="J168" i="26"/>
  <c r="J39" i="26"/>
  <c r="J214" i="26"/>
  <c r="J142" i="26"/>
  <c r="J270" i="26"/>
  <c r="J147" i="26"/>
  <c r="J141" i="26"/>
  <c r="J213" i="26"/>
  <c r="J199" i="26"/>
  <c r="J138" i="26"/>
  <c r="J263" i="26"/>
  <c r="J143" i="26"/>
  <c r="J27" i="26"/>
  <c r="J198" i="26"/>
  <c r="J196" i="26"/>
  <c r="J43" i="26"/>
  <c r="J136" i="26"/>
  <c r="J271" i="26"/>
  <c r="J266" i="26"/>
  <c r="J35" i="26"/>
  <c r="J166" i="26"/>
  <c r="J135" i="26"/>
  <c r="J34" i="26"/>
  <c r="J41" i="26"/>
  <c r="J264" i="26"/>
  <c r="J137" i="26"/>
  <c r="J265" i="26"/>
  <c r="J182" i="26"/>
  <c r="J181" i="26"/>
  <c r="J111" i="26"/>
  <c r="J272" i="26"/>
  <c r="J148" i="26"/>
  <c r="J149" i="26"/>
  <c r="J144" i="26"/>
  <c r="J104" i="26"/>
  <c r="J110" i="26"/>
  <c r="J105" i="26"/>
  <c r="F240" i="26"/>
  <c r="J240" i="26" s="1"/>
  <c r="F242" i="26"/>
  <c r="J242" i="26" s="1"/>
  <c r="F241" i="26"/>
  <c r="J241" i="26" s="1"/>
  <c r="J239" i="26"/>
  <c r="J38" i="26"/>
  <c r="J180" i="26"/>
  <c r="J139" i="26"/>
  <c r="J200" i="26"/>
  <c r="J145" i="26"/>
  <c r="J151" i="26"/>
  <c r="J28" i="26"/>
  <c r="J218" i="26"/>
  <c r="J150" i="26"/>
  <c r="J212" i="26"/>
  <c r="J165" i="26"/>
  <c r="J215" i="26"/>
  <c r="J167" i="26"/>
  <c r="J164" i="26"/>
  <c r="J33" i="26"/>
  <c r="J246" i="26"/>
  <c r="J183" i="26"/>
  <c r="J216" i="26"/>
  <c r="J197" i="26"/>
  <c r="J220" i="26"/>
  <c r="J267" i="26"/>
  <c r="J184" i="26"/>
  <c r="C108" i="17"/>
  <c r="F108" i="17" s="1"/>
  <c r="C96" i="17"/>
  <c r="F96" i="17" s="1"/>
  <c r="C92" i="17"/>
  <c r="F92" i="17" s="1"/>
  <c r="C100" i="17"/>
  <c r="F100" i="17" s="1"/>
  <c r="H125" i="26"/>
  <c r="K125" i="26" s="1"/>
  <c r="C18" i="17" s="1"/>
  <c r="E18" i="17" s="1"/>
  <c r="C97" i="17"/>
  <c r="F97" i="17" s="1"/>
  <c r="C93" i="17"/>
  <c r="F93" i="17" s="1"/>
  <c r="H63" i="26"/>
  <c r="K63" i="26" s="1"/>
  <c r="H28" i="26"/>
  <c r="H36" i="26"/>
  <c r="K69" i="26"/>
  <c r="C89" i="17" s="1"/>
  <c r="F89" i="17" s="1"/>
  <c r="H39" i="26"/>
  <c r="C90" i="17"/>
  <c r="F90" i="17" s="1"/>
  <c r="H31" i="26"/>
  <c r="K31" i="26" s="1"/>
  <c r="D52" i="17" s="1"/>
  <c r="F52" i="17" s="1"/>
  <c r="C98" i="17"/>
  <c r="F98" i="17" s="1"/>
  <c r="H60" i="26"/>
  <c r="H128" i="26"/>
  <c r="K128" i="26" s="1"/>
  <c r="C20" i="17" s="1"/>
  <c r="E20" i="17" s="1"/>
  <c r="H43" i="26"/>
  <c r="C99" i="17"/>
  <c r="F99" i="17" s="1"/>
  <c r="H59" i="26"/>
  <c r="H42" i="26"/>
  <c r="M68" i="26"/>
  <c r="C104" i="17" s="1"/>
  <c r="F104" i="17" s="1"/>
  <c r="H41" i="26"/>
  <c r="H34" i="26"/>
  <c r="C105" i="17"/>
  <c r="F105" i="17" s="1"/>
  <c r="H35" i="26"/>
  <c r="C106" i="17"/>
  <c r="F106" i="17" s="1"/>
  <c r="H62" i="26"/>
  <c r="C107" i="17"/>
  <c r="F107" i="17" s="1"/>
  <c r="C91" i="17"/>
  <c r="F91" i="17" s="1"/>
  <c r="H33" i="26"/>
  <c r="H124" i="26"/>
  <c r="K124" i="26" s="1"/>
  <c r="C17" i="17" s="1"/>
  <c r="H37" i="26"/>
  <c r="H29" i="26"/>
  <c r="H38" i="26"/>
  <c r="C88" i="17"/>
  <c r="F88" i="17" s="1"/>
  <c r="M67" i="26"/>
  <c r="C103" i="17" s="1"/>
  <c r="F103" i="17" s="1"/>
  <c r="H127" i="26"/>
  <c r="K127" i="26" s="1"/>
  <c r="C19" i="17" s="1"/>
  <c r="E19" i="17" s="1"/>
  <c r="L67" i="26"/>
  <c r="C95" i="17" s="1"/>
  <c r="F95" i="17" s="1"/>
  <c r="C109" i="17"/>
  <c r="F109" i="17" s="1"/>
  <c r="C87" i="17"/>
  <c r="C101" i="17"/>
  <c r="F101" i="17" s="1"/>
  <c r="I216" i="26"/>
  <c r="I59" i="26"/>
  <c r="I42" i="26"/>
  <c r="I212" i="26"/>
  <c r="I143" i="26"/>
  <c r="I266" i="26"/>
  <c r="I165" i="26"/>
  <c r="I240" i="26"/>
  <c r="I136" i="26"/>
  <c r="I267" i="26"/>
  <c r="H147" i="26"/>
  <c r="H165" i="26"/>
  <c r="H197" i="26"/>
  <c r="H137" i="26"/>
  <c r="H145" i="26"/>
  <c r="H180" i="26"/>
  <c r="H212" i="26"/>
  <c r="H214" i="26"/>
  <c r="H108" i="26"/>
  <c r="I166" i="26"/>
  <c r="I196" i="26"/>
  <c r="I27" i="26"/>
  <c r="I58" i="26"/>
  <c r="I141" i="26"/>
  <c r="I213" i="26"/>
  <c r="I246" i="26"/>
  <c r="I241" i="26"/>
  <c r="I148" i="26"/>
  <c r="I184" i="26"/>
  <c r="I149" i="26"/>
  <c r="I41" i="26"/>
  <c r="I271" i="26"/>
  <c r="I263" i="26"/>
  <c r="I270" i="26"/>
  <c r="I200" i="26"/>
  <c r="I180" i="26"/>
  <c r="I144" i="26"/>
  <c r="I164" i="26"/>
  <c r="I37" i="26"/>
  <c r="I137" i="26"/>
  <c r="I181" i="26"/>
  <c r="I220" i="26"/>
  <c r="I182" i="26"/>
  <c r="I244" i="26"/>
  <c r="I239" i="26"/>
  <c r="I150" i="26"/>
  <c r="I36" i="26"/>
  <c r="I167" i="26"/>
  <c r="I139" i="26"/>
  <c r="I168" i="26"/>
  <c r="I265" i="26"/>
  <c r="I135" i="26"/>
  <c r="I215" i="26"/>
  <c r="H265" i="26"/>
  <c r="K265" i="26" s="1"/>
  <c r="C13" i="16" s="1"/>
  <c r="E13" i="16" s="1"/>
  <c r="H215" i="26"/>
  <c r="I62" i="26"/>
  <c r="H183" i="26"/>
  <c r="H200" i="26"/>
  <c r="I35" i="26"/>
  <c r="I198" i="26"/>
  <c r="H196" i="26"/>
  <c r="K196" i="26" s="1"/>
  <c r="C19" i="12" s="1"/>
  <c r="H241" i="26"/>
  <c r="I138" i="26"/>
  <c r="I272" i="26"/>
  <c r="H138" i="26"/>
  <c r="I147" i="26"/>
  <c r="I43" i="26"/>
  <c r="I38" i="26"/>
  <c r="I238" i="26"/>
  <c r="H181" i="26"/>
  <c r="I28" i="26"/>
  <c r="I39" i="26"/>
  <c r="H264" i="26"/>
  <c r="K264" i="26" s="1"/>
  <c r="C12" i="16" s="1"/>
  <c r="E12" i="16" s="1"/>
  <c r="H216" i="26"/>
  <c r="H149" i="26"/>
  <c r="H167" i="26"/>
  <c r="H199" i="26"/>
  <c r="H151" i="26"/>
  <c r="H107" i="26"/>
  <c r="H104" i="26"/>
  <c r="H109" i="26"/>
  <c r="H238" i="26"/>
  <c r="H266" i="26"/>
  <c r="K266" i="26" s="1"/>
  <c r="H150" i="26"/>
  <c r="H219" i="26"/>
  <c r="H198" i="26"/>
  <c r="H213" i="26"/>
  <c r="H135" i="26"/>
  <c r="H164" i="26"/>
  <c r="H105" i="26"/>
  <c r="H239" i="26"/>
  <c r="H267" i="26"/>
  <c r="H271" i="26"/>
  <c r="K271" i="26" s="1"/>
  <c r="C16" i="16" s="1"/>
  <c r="E16" i="16" s="1"/>
  <c r="H136" i="26"/>
  <c r="H182" i="26"/>
  <c r="H184" i="26"/>
  <c r="H111" i="26"/>
  <c r="H240" i="26"/>
  <c r="H246" i="26"/>
  <c r="H139" i="26"/>
  <c r="H166" i="26"/>
  <c r="H220" i="26"/>
  <c r="H148" i="26"/>
  <c r="H141" i="26"/>
  <c r="H106" i="26"/>
  <c r="H110" i="26"/>
  <c r="H244" i="26"/>
  <c r="H245" i="26"/>
  <c r="H242" i="26"/>
  <c r="I219" i="26"/>
  <c r="H143" i="26"/>
  <c r="I197" i="26"/>
  <c r="I242" i="26"/>
  <c r="I145" i="26"/>
  <c r="H218" i="26"/>
  <c r="H142" i="26"/>
  <c r="I34" i="26"/>
  <c r="H168" i="26"/>
  <c r="I214" i="26"/>
  <c r="I142" i="26"/>
  <c r="I264" i="26"/>
  <c r="I33" i="26"/>
  <c r="I151" i="26"/>
  <c r="I218" i="26"/>
  <c r="H144" i="26"/>
  <c r="I183" i="26"/>
  <c r="I60" i="26"/>
  <c r="I199" i="26"/>
  <c r="I245" i="26"/>
  <c r="H272" i="26"/>
  <c r="K272" i="26" s="1"/>
  <c r="C17" i="16" s="1"/>
  <c r="E17" i="16" s="1"/>
  <c r="H270" i="26"/>
  <c r="K270" i="26" s="1"/>
  <c r="C15" i="16" s="1"/>
  <c r="E15" i="16" s="1"/>
  <c r="F42" i="17" l="1"/>
  <c r="E11" i="16"/>
  <c r="C14" i="16"/>
  <c r="E14" i="16" s="1"/>
  <c r="E19" i="16"/>
  <c r="E17" i="17"/>
  <c r="D121" i="17" s="1"/>
  <c r="K104" i="26"/>
  <c r="C25" i="17" s="1"/>
  <c r="E25" i="17" s="1"/>
  <c r="K34" i="26"/>
  <c r="D55" i="17" s="1"/>
  <c r="C76" i="17" s="1"/>
  <c r="E76" i="17" s="1"/>
  <c r="K137" i="26"/>
  <c r="C13" i="12" s="1"/>
  <c r="E13" i="12" s="1"/>
  <c r="K109" i="26"/>
  <c r="C31" i="17" s="1"/>
  <c r="E31" i="17" s="1"/>
  <c r="K106" i="26"/>
  <c r="C28" i="17" s="1"/>
  <c r="E28" i="17" s="1"/>
  <c r="D58" i="17"/>
  <c r="F58" i="17" s="1"/>
  <c r="D122" i="17"/>
  <c r="K215" i="26"/>
  <c r="K105" i="26"/>
  <c r="C26" i="17" s="1"/>
  <c r="E26" i="17" s="1"/>
  <c r="K147" i="26"/>
  <c r="K111" i="26"/>
  <c r="C33" i="17" s="1"/>
  <c r="E33" i="17" s="1"/>
  <c r="K28" i="26"/>
  <c r="D50" i="17" s="1"/>
  <c r="F50" i="17" s="1"/>
  <c r="D57" i="17"/>
  <c r="F57" i="17" s="1"/>
  <c r="K168" i="26"/>
  <c r="E18" i="16"/>
  <c r="K214" i="26"/>
  <c r="C29" i="12" s="1"/>
  <c r="E29" i="12" s="1"/>
  <c r="K107" i="26"/>
  <c r="C29" i="17" s="1"/>
  <c r="E29" i="17" s="1"/>
  <c r="K60" i="26"/>
  <c r="C84" i="17" s="1"/>
  <c r="F84" i="17" s="1"/>
  <c r="D60" i="17"/>
  <c r="F60" i="17" s="1"/>
  <c r="K29" i="26"/>
  <c r="D51" i="17" s="1"/>
  <c r="F51" i="17" s="1"/>
  <c r="E19" i="12"/>
  <c r="K141" i="26"/>
  <c r="K145" i="26"/>
  <c r="K58" i="26"/>
  <c r="C82" i="17" s="1"/>
  <c r="F82" i="17" s="1"/>
  <c r="K180" i="26"/>
  <c r="C23" i="12" s="1"/>
  <c r="E23" i="12" s="1"/>
  <c r="K110" i="26"/>
  <c r="C32" i="17" s="1"/>
  <c r="E32" i="17" s="1"/>
  <c r="K108" i="26"/>
  <c r="C30" i="17" s="1"/>
  <c r="E30" i="17" s="1"/>
  <c r="K103" i="26"/>
  <c r="C24" i="17" s="1"/>
  <c r="E24" i="17" s="1"/>
  <c r="K240" i="26"/>
  <c r="C12" i="14" s="1"/>
  <c r="E12" i="14" s="1"/>
  <c r="K238" i="26"/>
  <c r="C10" i="14" s="1"/>
  <c r="E10" i="14" s="1"/>
  <c r="K246" i="26"/>
  <c r="C15" i="14" s="1"/>
  <c r="E15" i="14" s="1"/>
  <c r="K239" i="26"/>
  <c r="C11" i="14" s="1"/>
  <c r="E11" i="14" s="1"/>
  <c r="K213" i="26"/>
  <c r="C28" i="12" s="1"/>
  <c r="E28" i="12" s="1"/>
  <c r="K220" i="26"/>
  <c r="C32" i="12" s="1"/>
  <c r="E32" i="12" s="1"/>
  <c r="K181" i="26"/>
  <c r="C24" i="12" s="1"/>
  <c r="E24" i="12" s="1"/>
  <c r="K136" i="26"/>
  <c r="C12" i="12" s="1"/>
  <c r="E12" i="12" s="1"/>
  <c r="K139" i="26"/>
  <c r="K59" i="26"/>
  <c r="C83" i="17" s="1"/>
  <c r="F83" i="17" s="1"/>
  <c r="K62" i="26"/>
  <c r="C85" i="17" s="1"/>
  <c r="F85" i="17" s="1"/>
  <c r="K43" i="26"/>
  <c r="D65" i="17" s="1"/>
  <c r="F65" i="17" s="1"/>
  <c r="K167" i="26"/>
  <c r="K165" i="26"/>
  <c r="C16" i="12" s="1"/>
  <c r="E16" i="12" s="1"/>
  <c r="K216" i="26"/>
  <c r="K41" i="26"/>
  <c r="D63" i="17" s="1"/>
  <c r="F63" i="17" s="1"/>
  <c r="K42" i="26"/>
  <c r="D64" i="17" s="1"/>
  <c r="F64" i="17" s="1"/>
  <c r="K33" i="26"/>
  <c r="D54" i="17" s="1"/>
  <c r="K27" i="26"/>
  <c r="D49" i="17" s="1"/>
  <c r="F49" i="17" s="1"/>
  <c r="F87" i="17"/>
  <c r="F116" i="17"/>
  <c r="D117" i="17" s="1"/>
  <c r="D59" i="17"/>
  <c r="F59" i="17" s="1"/>
  <c r="K241" i="26"/>
  <c r="K218" i="26"/>
  <c r="C30" i="12" s="1"/>
  <c r="E30" i="12" s="1"/>
  <c r="K244" i="26"/>
  <c r="C13" i="14" s="1"/>
  <c r="E13" i="14" s="1"/>
  <c r="K150" i="26"/>
  <c r="K199" i="26"/>
  <c r="K197" i="26"/>
  <c r="C20" i="12" s="1"/>
  <c r="E20" i="12" s="1"/>
  <c r="K143" i="26"/>
  <c r="K212" i="26"/>
  <c r="C27" i="12" s="1"/>
  <c r="E27" i="12" s="1"/>
  <c r="K149" i="26"/>
  <c r="K164" i="26"/>
  <c r="C15" i="12" s="1"/>
  <c r="E15" i="12" s="1"/>
  <c r="K184" i="26"/>
  <c r="K135" i="26"/>
  <c r="C11" i="12" s="1"/>
  <c r="E11" i="12" s="1"/>
  <c r="K200" i="26"/>
  <c r="K144" i="26"/>
  <c r="K242" i="26"/>
  <c r="K198" i="26"/>
  <c r="C21" i="12" s="1"/>
  <c r="E21" i="12" s="1"/>
  <c r="K138" i="26"/>
  <c r="K183" i="26"/>
  <c r="K148" i="26"/>
  <c r="K182" i="26"/>
  <c r="C25" i="12" s="1"/>
  <c r="E25" i="12" s="1"/>
  <c r="K142" i="26"/>
  <c r="K245" i="26"/>
  <c r="C14" i="14" s="1"/>
  <c r="E14" i="14" s="1"/>
  <c r="K166" i="26"/>
  <c r="C17" i="12" s="1"/>
  <c r="E17" i="12" s="1"/>
  <c r="K219" i="26"/>
  <c r="C31" i="12" s="1"/>
  <c r="E31" i="12" s="1"/>
  <c r="K151" i="26"/>
  <c r="F47" i="17" l="1"/>
  <c r="B13" i="10" s="1"/>
  <c r="D125" i="17"/>
  <c r="E20" i="16"/>
  <c r="E21" i="16" s="1"/>
  <c r="D25" i="10" s="1"/>
  <c r="F21" i="17"/>
  <c r="C10" i="10" s="1"/>
  <c r="F55" i="17"/>
  <c r="E27" i="17"/>
  <c r="C78" i="17"/>
  <c r="E78" i="17" s="1"/>
  <c r="D56" i="17"/>
  <c r="C77" i="17" s="1"/>
  <c r="E77" i="17" s="1"/>
  <c r="C75" i="17"/>
  <c r="E75" i="17" s="1"/>
  <c r="E34" i="17"/>
  <c r="D126" i="17"/>
  <c r="D123" i="17"/>
  <c r="D124" i="17"/>
  <c r="D129" i="17"/>
  <c r="F110" i="17"/>
  <c r="C17" i="10" s="1"/>
  <c r="F66" i="17"/>
  <c r="B15" i="10" s="1"/>
  <c r="E16" i="14"/>
  <c r="D8" i="10" s="1"/>
  <c r="B11" i="17"/>
  <c r="F54" i="17"/>
  <c r="D130" i="17"/>
  <c r="E33" i="12"/>
  <c r="D7" i="10" s="1"/>
  <c r="F38" i="17" l="1"/>
  <c r="C11" i="10" s="1"/>
  <c r="D128" i="17"/>
  <c r="F79" i="17"/>
  <c r="C16" i="10" s="1"/>
  <c r="F56" i="17"/>
  <c r="D127" i="17" s="1"/>
  <c r="F61" i="17" l="1"/>
  <c r="B14" i="10" s="1"/>
  <c r="D131" i="17"/>
  <c r="F67" i="17" l="1"/>
  <c r="C12" i="10" s="1"/>
  <c r="F118" i="17" l="1"/>
  <c r="B12" i="17" s="1"/>
  <c r="D9" i="10" l="1"/>
  <c r="D23" i="10" s="1"/>
  <c r="D26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tc={7C0CE3F6-1B71-4DCB-AA02-C8C85F80C83D}</author>
  </authors>
  <commentList>
    <comment ref="H14" authorId="0" shapeId="0" xr:uid="{7C0CE3F6-1B71-4DCB-AA02-C8C85F80C83D}">
      <text>
        <t>[Threaded comment]
Your version of Excel allows you to read this threaded comment; however, any edits to it will get removed if the file is opened in a newer version of Excel. Learn more: https://go.microsoft.com/fwlink/?linkid=870924
Comment:
    JP - Do you have the Consultant Report to determine "construction, land acq. and facilites" costs that are hard coded for each section?</t>
      </text>
    </comment>
  </commentList>
</comments>
</file>

<file path=xl/sharedStrings.xml><?xml version="1.0" encoding="utf-8"?>
<sst xmlns="http://schemas.openxmlformats.org/spreadsheetml/2006/main" count="1321" uniqueCount="576">
  <si>
    <t xml:space="preserve">TOWN OF WINDSOR </t>
  </si>
  <si>
    <t xml:space="preserve">DEVELOPMENT IMPACT FEE CALCULATION DATA SHEET </t>
  </si>
  <si>
    <t>PROJECT DATA</t>
  </si>
  <si>
    <t>Project or Subdivision Name</t>
  </si>
  <si>
    <t>Site Address</t>
  </si>
  <si>
    <t>APN(s)</t>
  </si>
  <si>
    <t>Building Permit No.</t>
  </si>
  <si>
    <t>Planning File No.</t>
  </si>
  <si>
    <t>Subdivision (Y/N)</t>
  </si>
  <si>
    <t>Subdivision Lot No.</t>
  </si>
  <si>
    <t>Residential Units (#) and (SF)</t>
  </si>
  <si>
    <t>Notes/Instructions</t>
  </si>
  <si>
    <t xml:space="preserve">Single Family Dwelling (Total # Units) </t>
  </si>
  <si>
    <t>Includes Single Family Dwelling units and Small Single Family Residential units for total number of units</t>
  </si>
  <si>
    <t>Standard Single Family Residential (# Units)</t>
  </si>
  <si>
    <t>Small Single Family Residential  (# Units)</t>
  </si>
  <si>
    <t>Maximum 1,200-square foot unit on 4,000-square lot or smaller</t>
  </si>
  <si>
    <t>Total Single Family Living Space (SF)</t>
  </si>
  <si>
    <t>Excluding garages, carports, walkways, overhangs, enclosed patios, detached storage structures, and similar</t>
  </si>
  <si>
    <t>Multi-Family (# Units)</t>
  </si>
  <si>
    <t xml:space="preserve">Includes duplex, triplex, fourplex, townhome, apartment, condominium, and live/work units. Water connection fees included in per unit fee. </t>
  </si>
  <si>
    <t>Total Multi-Family Living Space (SF)</t>
  </si>
  <si>
    <t>Accessory Dwelling Units (ADUs) (# Units)</t>
  </si>
  <si>
    <t>ADUs shall not have separate sewer connections or water service</t>
  </si>
  <si>
    <t>Large ADUs (SF)</t>
  </si>
  <si>
    <t>Large ADUs are those that are 750 square feet or greater</t>
  </si>
  <si>
    <t>Manufactured/Mobile Homes (# Units)</t>
  </si>
  <si>
    <t>Total Manufactured/Mobile Homes Living Space (SF)</t>
  </si>
  <si>
    <t>Commercial and Industrial (SF)</t>
  </si>
  <si>
    <t>Commercial (Total SF)</t>
  </si>
  <si>
    <t xml:space="preserve">Commercial and Industrial projects only, not applicable to Multi-Family. </t>
  </si>
  <si>
    <t>Commercial - Drive-Through (SF)</t>
  </si>
  <si>
    <t>Commercial - Self Storage (SF)</t>
  </si>
  <si>
    <t>Office (SF)</t>
  </si>
  <si>
    <t>Light Industrial (SF)</t>
  </si>
  <si>
    <t>Heavy Industrial (SF)</t>
  </si>
  <si>
    <t>Institutional (SF)</t>
  </si>
  <si>
    <t>Water Capacity - Water Meters (#)</t>
  </si>
  <si>
    <t>5/8" Meter</t>
  </si>
  <si>
    <t>5/8"meters allowed for meter replacement only with Public Works approval</t>
  </si>
  <si>
    <t>3/4" Meter</t>
  </si>
  <si>
    <t>3/4"meters allowed for meter replacement only with Public Works approval</t>
  </si>
  <si>
    <t>1" Meter</t>
  </si>
  <si>
    <t>The minimum meter size for a new single family residential unit is 1". Check with Building Division regarding new sprinkler requirements. Domestic service refers to potable water.</t>
  </si>
  <si>
    <t>1½“ Meter</t>
  </si>
  <si>
    <t>Non-Residential Water Connections (#)</t>
  </si>
  <si>
    <t>1" Non-Residential Water Meter</t>
  </si>
  <si>
    <t>1½" Non-Residential Water Meter</t>
  </si>
  <si>
    <t>2" Non-Residential Water Meter</t>
  </si>
  <si>
    <t>3" Non-Residential Water Meter</t>
  </si>
  <si>
    <t>4" Non-Residential Water Meter</t>
  </si>
  <si>
    <t>6" Non-Residential Water Meter</t>
  </si>
  <si>
    <t>8" Non-Residential Water Meter</t>
  </si>
  <si>
    <t>Dedicated Irrigation Meters (#)</t>
  </si>
  <si>
    <t>2" Meter</t>
  </si>
  <si>
    <t>Applicant shall provide and install all meters 2" and larger.Town will supply and install ERT at cost plus installation</t>
  </si>
  <si>
    <t>Recycled Water Meters (#)</t>
  </si>
  <si>
    <t>Residential fees include the meter(s) and meter installation only.  Non-residential fees include the meter(s), meter installation, and 80% of the water capacity fee based on meter size.</t>
  </si>
  <si>
    <t>Recycled Water Capacity Fee - New Users Only (#)</t>
  </si>
  <si>
    <t>Water Reclamation (Sewer) - Non-Residential Meters (#)</t>
  </si>
  <si>
    <t>Low strength</t>
  </si>
  <si>
    <t>Medium strength</t>
  </si>
  <si>
    <t>High strength</t>
  </si>
  <si>
    <t>Wastewater Capacity Information for Non-Standard Development Projects*</t>
  </si>
  <si>
    <t>*Non-standard developments may include, but are not limited to, food processing, beverage manufacturing, wine production, and breweries.</t>
  </si>
  <si>
    <t>Wastewater Flow (gallons/day)</t>
  </si>
  <si>
    <t>Biochemical Oxygen Demand (BOD) (mg/l)</t>
  </si>
  <si>
    <t>Discharge measurement</t>
  </si>
  <si>
    <t>Total Suspended Solids (TSS) (mg/l)</t>
  </si>
  <si>
    <t>Miscellanous</t>
  </si>
  <si>
    <t>Mixed Use Project (Y/N)</t>
  </si>
  <si>
    <t>Transit Core (Y/N)</t>
  </si>
  <si>
    <t>Within 1/2-mile of SMART station</t>
  </si>
  <si>
    <t>Backflow Device Required (Y/N)</t>
  </si>
  <si>
    <t>A backflow device is required when an existing well will be used for irrigation purposes in a residential project or if the project is non-residential.</t>
  </si>
  <si>
    <t>Fire Service Line Size</t>
  </si>
  <si>
    <t>TOWN OF WINDSOR DEVELOPMENT IMPACT FEE</t>
  </si>
  <si>
    <t xml:space="preserve"> SUMMARY ESTIMATE</t>
  </si>
  <si>
    <t>Parks and Recreation</t>
  </si>
  <si>
    <t>Police</t>
  </si>
  <si>
    <t>Public Works</t>
  </si>
  <si>
    <t xml:space="preserve">  Drainage Development</t>
  </si>
  <si>
    <t xml:space="preserve">  Traffic Impact</t>
  </si>
  <si>
    <t xml:space="preserve">  Water Capacity</t>
  </si>
  <si>
    <t xml:space="preserve">  1. Meter Installation</t>
  </si>
  <si>
    <t xml:space="preserve">  2. Domestic Connection</t>
  </si>
  <si>
    <t xml:space="preserve">  3. Irrigation Connection </t>
  </si>
  <si>
    <t xml:space="preserve">  Recycled Water</t>
  </si>
  <si>
    <t xml:space="preserve">  Water Reclamation/Calculated Wastewater Capacity Fee</t>
  </si>
  <si>
    <r>
      <t xml:space="preserve">Town of Windsor - Housing In-Lieu Fees </t>
    </r>
    <r>
      <rPr>
        <i/>
        <sz val="12"/>
        <rFont val="Calibri"/>
        <family val="2"/>
        <scheme val="minor"/>
      </rPr>
      <t>(confirm with Planning Division)</t>
    </r>
  </si>
  <si>
    <r>
      <t xml:space="preserve">Town of Windsor - Tree Mitigation In-Lieu Fees </t>
    </r>
    <r>
      <rPr>
        <i/>
        <sz val="12"/>
        <rFont val="Calibri"/>
        <family val="2"/>
        <scheme val="minor"/>
      </rPr>
      <t>(confirm with Planning Division)</t>
    </r>
  </si>
  <si>
    <r>
      <t xml:space="preserve">Town of Windsor - Other Fees </t>
    </r>
    <r>
      <rPr>
        <i/>
        <sz val="12"/>
        <rFont val="Calibri"/>
        <family val="2"/>
        <scheme val="minor"/>
      </rPr>
      <t>(confirm with Planning Division)</t>
    </r>
  </si>
  <si>
    <t>Town of Windsor - Other (Initial Building/Grading Permit for Horizontal Site Work) (1)</t>
  </si>
  <si>
    <t>Town of Windsor - (Building Permit Fees) (1)</t>
  </si>
  <si>
    <t>Town of Windsor Subtotal</t>
  </si>
  <si>
    <t>Windsor Unified School District (2)</t>
  </si>
  <si>
    <t>Sonoma County Fire District (2)</t>
  </si>
  <si>
    <t>TOTAL</t>
  </si>
  <si>
    <t xml:space="preserve">      (2) Fees for the following outside agencies are provided as a courtesy only and should be verified: </t>
  </si>
  <si>
    <t>Windsor Unified School District: Gillian Hornbostel ghornbostel@wusd.org or (707) 837-7708</t>
  </si>
  <si>
    <t>Sonoma County Fire District: Cyndi Foreman cforeman@sonomacountyfd.org or (707) 892-2003</t>
  </si>
  <si>
    <t>PUBLIC WORKS</t>
  </si>
  <si>
    <t xml:space="preserve"> DEVELOPMENT IMPACT FEE CALCULATIONS</t>
  </si>
  <si>
    <t>Project or Subdivision Name:</t>
  </si>
  <si>
    <t>Site Address:</t>
  </si>
  <si>
    <t>Assessor's Parcel Number(s):</t>
  </si>
  <si>
    <t>File No.:</t>
  </si>
  <si>
    <t>Mixed Use  (Y/N)</t>
  </si>
  <si>
    <t>Total ESD</t>
  </si>
  <si>
    <t>Total due with this Building Permit</t>
  </si>
  <si>
    <t>Verified By:</t>
  </si>
  <si>
    <t>Date:</t>
  </si>
  <si>
    <r>
      <rPr>
        <b/>
        <sz val="12"/>
        <rFont val="Calibri"/>
        <family val="2"/>
        <scheme val="minor"/>
      </rPr>
      <t>Drainage Development</t>
    </r>
    <r>
      <rPr>
        <sz val="12"/>
        <rFont val="Calibri"/>
        <family val="2"/>
        <scheme val="minor"/>
      </rPr>
      <t xml:space="preserve">     </t>
    </r>
  </si>
  <si>
    <t>Description</t>
  </si>
  <si>
    <t>Quantity</t>
  </si>
  <si>
    <t>Unit Cost</t>
  </si>
  <si>
    <t>Unit</t>
  </si>
  <si>
    <t>Due With This Permit</t>
  </si>
  <si>
    <t>Single Family</t>
  </si>
  <si>
    <t>dwelling unit</t>
  </si>
  <si>
    <t>230-63-00-0000-3655-600</t>
  </si>
  <si>
    <t>Multi-Family</t>
  </si>
  <si>
    <t>Commercial</t>
  </si>
  <si>
    <t>per 1,000 SF</t>
  </si>
  <si>
    <t>230-63-00-0000-3655-601</t>
  </si>
  <si>
    <t xml:space="preserve">Industrial </t>
  </si>
  <si>
    <t>Total Drainage Fees</t>
  </si>
  <si>
    <r>
      <rPr>
        <b/>
        <sz val="12"/>
        <rFont val="Calibri"/>
        <family val="2"/>
        <scheme val="minor"/>
      </rPr>
      <t>Traffic Impact Development</t>
    </r>
    <r>
      <rPr>
        <sz val="12"/>
        <rFont val="Calibri"/>
        <family val="2"/>
        <scheme val="minor"/>
      </rPr>
      <t xml:space="preserve">   </t>
    </r>
  </si>
  <si>
    <t xml:space="preserve"> </t>
  </si>
  <si>
    <t>Single Family Detached</t>
  </si>
  <si>
    <t>210-63-00-0000-3655-600</t>
  </si>
  <si>
    <t>Accessory Dwelling Unit</t>
  </si>
  <si>
    <t>Residential Subtotal</t>
  </si>
  <si>
    <t>210-63-00-0000-3655-601</t>
  </si>
  <si>
    <t>Commercial with Drive-Through</t>
  </si>
  <si>
    <t>Office</t>
  </si>
  <si>
    <t>Light industrial</t>
  </si>
  <si>
    <t>Heavy Industrial</t>
  </si>
  <si>
    <t>Institutional</t>
  </si>
  <si>
    <t>Commercial Subtotal</t>
  </si>
  <si>
    <t xml:space="preserve"> Mixed Use Credit:  Residential OR Non-Residential</t>
  </si>
  <si>
    <t>Transit Core Credit Residential</t>
  </si>
  <si>
    <t>Transit Core Credit Non-Residential</t>
  </si>
  <si>
    <t>Total Traffic Fees</t>
  </si>
  <si>
    <r>
      <rPr>
        <b/>
        <sz val="12"/>
        <rFont val="Calibri"/>
        <family val="2"/>
        <scheme val="minor"/>
      </rPr>
      <t>Water Capacity</t>
    </r>
    <r>
      <rPr>
        <sz val="12"/>
        <rFont val="Calibri"/>
        <family val="2"/>
        <scheme val="minor"/>
      </rPr>
      <t xml:space="preserve">     </t>
    </r>
  </si>
  <si>
    <t>Meter and Installation</t>
  </si>
  <si>
    <t>Domestic</t>
  </si>
  <si>
    <t>Irrigation</t>
  </si>
  <si>
    <t>Installation Fee for Total Meters Installed</t>
  </si>
  <si>
    <t xml:space="preserve">per meter </t>
  </si>
  <si>
    <t>440-00-00-0000-3687-000</t>
  </si>
  <si>
    <t>Master Fee Schedule</t>
  </si>
  <si>
    <t xml:space="preserve">Meter Valve &amp; Control </t>
  </si>
  <si>
    <t>5/8" meter</t>
  </si>
  <si>
    <t>-</t>
  </si>
  <si>
    <t>actual meter cost</t>
  </si>
  <si>
    <t>Actual Cost from Distributor</t>
  </si>
  <si>
    <t>Size</t>
  </si>
  <si>
    <t xml:space="preserve">Meter </t>
  </si>
  <si>
    <t>Endpoint</t>
  </si>
  <si>
    <t>Total</t>
  </si>
  <si>
    <t>Tax 9%</t>
  </si>
  <si>
    <t>Total Cost</t>
  </si>
  <si>
    <t>3/4" meter</t>
  </si>
  <si>
    <t>5/8</t>
  </si>
  <si>
    <t>1" meter</t>
  </si>
  <si>
    <t>3/4</t>
  </si>
  <si>
    <t>1½" meter</t>
  </si>
  <si>
    <t>Applicant shall provide and install all meters 2" and larger.Town will supply and install ERT at cost plus installation.</t>
  </si>
  <si>
    <t>Installation Subtotal</t>
  </si>
  <si>
    <t>Domestic Connection (per meter size)</t>
  </si>
  <si>
    <t xml:space="preserve">Small Single Family Residential  1" </t>
  </si>
  <si>
    <t>per residence</t>
  </si>
  <si>
    <t>460-00-00-0000-3660-600</t>
  </si>
  <si>
    <t>Standard Single Family Residential 1" Meter</t>
  </si>
  <si>
    <t xml:space="preserve">Accessory Dwelling Unit (ADU) </t>
  </si>
  <si>
    <t>Multi-Family Residential</t>
  </si>
  <si>
    <t>Non-Residential    1" Meter</t>
  </si>
  <si>
    <t>per meter</t>
  </si>
  <si>
    <t>Non-Residential    1½" Meter</t>
  </si>
  <si>
    <t>Non-Residential     2" Meter</t>
  </si>
  <si>
    <t>Non-Residential     3" Meter</t>
  </si>
  <si>
    <t>Non-Residential     4" Meter</t>
  </si>
  <si>
    <t>Non-Residential     6" Meter</t>
  </si>
  <si>
    <t>Non-Residential     8" Meter</t>
  </si>
  <si>
    <t>Connection Subtotal</t>
  </si>
  <si>
    <t>Dedicated Irrigation (per meter size)</t>
  </si>
  <si>
    <t>440-00-00-0000-3387-000</t>
  </si>
  <si>
    <t>1½" Meter</t>
  </si>
  <si>
    <t>Irrigation Subtotal</t>
  </si>
  <si>
    <t>Total Water Capacity Fees</t>
  </si>
  <si>
    <r>
      <rPr>
        <b/>
        <sz val="12"/>
        <rFont val="Calibri"/>
        <family val="2"/>
        <scheme val="minor"/>
      </rPr>
      <t>Recycled Water</t>
    </r>
    <r>
      <rPr>
        <sz val="12"/>
        <rFont val="Calibri"/>
        <family val="2"/>
        <scheme val="minor"/>
      </rPr>
      <t xml:space="preserve">     </t>
    </r>
  </si>
  <si>
    <t xml:space="preserve">Applicant shall provide and install all meters 2" and larger.   </t>
  </si>
  <si>
    <t xml:space="preserve">Recycled Water Capacity Fee (New Users Only) </t>
  </si>
  <si>
    <t>80% Non-Residential Meter Fees</t>
  </si>
  <si>
    <t>Non-Residential Recycled Water   1" Meter</t>
  </si>
  <si>
    <t>Non-Residential Recycled Water    1½" Meter</t>
  </si>
  <si>
    <t>Non-Residential Recycled Water   2" Meter</t>
  </si>
  <si>
    <t>Non-Residential Recycled Water   3" Meter</t>
  </si>
  <si>
    <t>Total Recycle Water Fees</t>
  </si>
  <si>
    <r>
      <rPr>
        <b/>
        <sz val="12"/>
        <rFont val="Calibri"/>
        <family val="2"/>
        <scheme val="minor"/>
      </rPr>
      <t>Water Reclamation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>(Sewer)</t>
    </r>
  </si>
  <si>
    <t>Meter &amp; Installation</t>
  </si>
  <si>
    <t>Small Single Family Residential Units</t>
  </si>
  <si>
    <t>430-00-00-0000-3660-600</t>
  </si>
  <si>
    <t xml:space="preserve">Standard Single Family Residential </t>
  </si>
  <si>
    <t>Accessory Dwelling Unit (ADU)</t>
  </si>
  <si>
    <t>per dwelling unit</t>
  </si>
  <si>
    <t>Multi-Family Residential Units</t>
  </si>
  <si>
    <t>Non Residential (1" Meter = 1 ESD)</t>
  </si>
  <si>
    <t>Low Strength - 1" Meter</t>
  </si>
  <si>
    <t>430-00-00-0000-3660-601</t>
  </si>
  <si>
    <t>Low Strength - 1½" Meter</t>
  </si>
  <si>
    <t>Low Strength - 2" Meter</t>
  </si>
  <si>
    <t>Low Strength - 3" Meter</t>
  </si>
  <si>
    <t>Low Strength - 4" Meter</t>
  </si>
  <si>
    <t>Low Strength - 6" Meter</t>
  </si>
  <si>
    <t>Low Strength - 8" Meter</t>
  </si>
  <si>
    <t>Medium Strength - 1" Meter</t>
  </si>
  <si>
    <t>Medium Strength - 1½" Meter</t>
  </si>
  <si>
    <t>Medium Strength - 2" Meter</t>
  </si>
  <si>
    <t>Medium Strength - 3" Meter</t>
  </si>
  <si>
    <t>Medium Strength - 4" Meter</t>
  </si>
  <si>
    <t>Medium Strength - 6" Meter</t>
  </si>
  <si>
    <t>Medium Strength - 8" Meter</t>
  </si>
  <si>
    <t>High Strength - 1" Meter</t>
  </si>
  <si>
    <t>High Strength - 1½" Meter</t>
  </si>
  <si>
    <t>High Strength - 2" Meter</t>
  </si>
  <si>
    <t>High Strength - 3" Meter</t>
  </si>
  <si>
    <t>High Strength - 4" Meter</t>
  </si>
  <si>
    <t>High Strength - 6" Meter</t>
  </si>
  <si>
    <t>High Strength - 8" Meter</t>
  </si>
  <si>
    <t>Total Water Reclamation (Sewer) Fees</t>
  </si>
  <si>
    <r>
      <rPr>
        <b/>
        <u/>
        <sz val="12"/>
        <color theme="1"/>
        <rFont val="Calibri"/>
        <family val="2"/>
        <scheme val="minor"/>
      </rPr>
      <t>Non-Standard Developments</t>
    </r>
    <r>
      <rPr>
        <b/>
        <sz val="12"/>
        <color theme="1"/>
        <rFont val="Calibri"/>
        <family val="2"/>
        <scheme val="minor"/>
      </rPr>
      <t xml:space="preserve"> </t>
    </r>
  </si>
  <si>
    <t>WWCF = Calculated Wastewater Capacity Fee = ($/ESD) x Flow/200 x [0.83 + (0.12 x BOD/200) + (0.05 x TSS/175)]</t>
  </si>
  <si>
    <t>Flow = Wastewater Flow (Gallons per day)</t>
  </si>
  <si>
    <t>FLOW =</t>
  </si>
  <si>
    <t>BOD = Biochemical Oxygen Demand (Discharge in mg/l)</t>
  </si>
  <si>
    <t>BOD =</t>
  </si>
  <si>
    <t>TSS = Total Suspended Solids (Discharge in mg/l)</t>
  </si>
  <si>
    <t>TSS =</t>
  </si>
  <si>
    <t>WWCF =</t>
  </si>
  <si>
    <t>ESD</t>
  </si>
  <si>
    <t>TOTAL PUBLIC WORKS IMPACT FEES</t>
  </si>
  <si>
    <t>1.00 ESD equals 200 gallons per day of estimated water flow for a single family home</t>
  </si>
  <si>
    <t xml:space="preserve">Summary of GL Codes </t>
  </si>
  <si>
    <t>Select Drop Down (cell E127)</t>
  </si>
  <si>
    <t>Total Impact Fees</t>
  </si>
  <si>
    <t>RESOLUTION HISTORY</t>
  </si>
  <si>
    <t xml:space="preserve">Drainage Developoment </t>
  </si>
  <si>
    <t>3558-19 (eff 1/19/20)</t>
  </si>
  <si>
    <t xml:space="preserve">Traffic Impact Development </t>
  </si>
  <si>
    <t>3590-20 (eff 6/15/20)</t>
  </si>
  <si>
    <t xml:space="preserve">Water Capacity </t>
  </si>
  <si>
    <t>1566-03 (eff 12/3/03)</t>
  </si>
  <si>
    <t>2764-11 (eff 3/20/11)</t>
  </si>
  <si>
    <t>1864-17 (eff 4/16/17)</t>
  </si>
  <si>
    <t xml:space="preserve">Recycle Water </t>
  </si>
  <si>
    <t>1738-05 (eff 5/2/05)</t>
  </si>
  <si>
    <t xml:space="preserve">Water Reclamation </t>
  </si>
  <si>
    <t>3045-13 (eff 1/18/14)</t>
  </si>
  <si>
    <t>3087-14 (eff 5/12/14)</t>
  </si>
  <si>
    <t>1865-17 (eff 4/16/17)</t>
  </si>
  <si>
    <t>DEPARTMENT NOTES</t>
  </si>
  <si>
    <t xml:space="preserve">PARKS AND RECREATION  </t>
  </si>
  <si>
    <t>DEVELOPMENT IMPACT FEE CALCULATIONS</t>
  </si>
  <si>
    <t>Project Name:</t>
  </si>
  <si>
    <t>Verified by:</t>
  </si>
  <si>
    <t>Due with this permit</t>
  </si>
  <si>
    <r>
      <rPr>
        <b/>
        <sz val="12"/>
        <rFont val="Calibri"/>
        <family val="2"/>
        <scheme val="minor"/>
      </rPr>
      <t>Park Development</t>
    </r>
    <r>
      <rPr>
        <sz val="12"/>
        <rFont val="Calibri"/>
        <family val="2"/>
        <scheme val="minor"/>
      </rPr>
      <t xml:space="preserve">     </t>
    </r>
  </si>
  <si>
    <t>Residential Single Family</t>
  </si>
  <si>
    <t>220-74-00-0000-3655-388</t>
  </si>
  <si>
    <t>Residential Multiple Family</t>
  </si>
  <si>
    <t>Residential Mobile Home</t>
  </si>
  <si>
    <r>
      <rPr>
        <b/>
        <sz val="12"/>
        <rFont val="Calibri"/>
        <family val="2"/>
        <scheme val="minor"/>
      </rPr>
      <t>Recreation Development</t>
    </r>
    <r>
      <rPr>
        <sz val="12"/>
        <rFont val="Calibri"/>
        <family val="2"/>
        <scheme val="minor"/>
      </rPr>
      <t xml:space="preserve">    </t>
    </r>
  </si>
  <si>
    <t>221-76-00-0000-3655-000</t>
  </si>
  <si>
    <r>
      <rPr>
        <b/>
        <sz val="12"/>
        <rFont val="Calibri"/>
        <family val="2"/>
        <scheme val="minor"/>
      </rPr>
      <t>New Trails Development</t>
    </r>
    <r>
      <rPr>
        <sz val="12"/>
        <rFont val="Calibri"/>
        <family val="2"/>
        <scheme val="minor"/>
      </rPr>
      <t xml:space="preserve">    </t>
    </r>
  </si>
  <si>
    <t>222-74-00-0000-3655-000</t>
  </si>
  <si>
    <r>
      <rPr>
        <b/>
        <sz val="12"/>
        <rFont val="Calibri"/>
        <family val="2"/>
        <scheme val="minor"/>
      </rPr>
      <t>Open Space Development</t>
    </r>
    <r>
      <rPr>
        <sz val="12"/>
        <rFont val="Calibri"/>
        <family val="2"/>
        <scheme val="minor"/>
      </rPr>
      <t xml:space="preserve">     </t>
    </r>
  </si>
  <si>
    <t>223-74-00-0000-3655-000</t>
  </si>
  <si>
    <r>
      <rPr>
        <b/>
        <sz val="12"/>
        <rFont val="Calibri"/>
        <family val="2"/>
        <scheme val="minor"/>
      </rPr>
      <t>Public Facilities Development</t>
    </r>
    <r>
      <rPr>
        <sz val="12"/>
        <rFont val="Calibri"/>
        <family val="2"/>
        <scheme val="minor"/>
      </rPr>
      <t xml:space="preserve">    </t>
    </r>
  </si>
  <si>
    <t>190-40-00-0000-3655-600</t>
  </si>
  <si>
    <t>190-40-00-0000-3655-601</t>
  </si>
  <si>
    <t>Industrial</t>
  </si>
  <si>
    <t xml:space="preserve">TOTAL PARKS AND RECREATION IMPACT FEES </t>
  </si>
  <si>
    <t xml:space="preserve">Park Development </t>
  </si>
  <si>
    <t>2673-10 (eff 6/21/10)</t>
  </si>
  <si>
    <t>3339-17 (eff 5/1/17)</t>
  </si>
  <si>
    <t>Recreation Development</t>
  </si>
  <si>
    <t>3340-17 (eff 5/1/17)</t>
  </si>
  <si>
    <t>New Trails Development</t>
  </si>
  <si>
    <t>3342-17 (eff 5/1/17)</t>
  </si>
  <si>
    <t>Open Space Development</t>
  </si>
  <si>
    <t>3341-17 (eff 5/1/17)</t>
  </si>
  <si>
    <t>Public Facilities Development</t>
  </si>
  <si>
    <t>2674-10 (eff 6/21/10)</t>
  </si>
  <si>
    <t>3343-17 (eff 5/1/17)</t>
  </si>
  <si>
    <t xml:space="preserve">POLICE  </t>
  </si>
  <si>
    <t>Verified By</t>
  </si>
  <si>
    <t xml:space="preserve">Single Family Dwelling </t>
  </si>
  <si>
    <t>235-50-00-0000-3655-000</t>
  </si>
  <si>
    <t xml:space="preserve">Multi-Family </t>
  </si>
  <si>
    <t xml:space="preserve">Manufactured/Mobile Homes </t>
  </si>
  <si>
    <t>Retail / Commercial</t>
  </si>
  <si>
    <t>TOTAL POLICE IMPACT FEES</t>
  </si>
  <si>
    <t>SONOMA COUNTY FIRE DISTRICT</t>
  </si>
  <si>
    <t>IMPACT FEE CALCULATIONS</t>
  </si>
  <si>
    <t>Residential Single Family (SF)</t>
  </si>
  <si>
    <t>living area SF</t>
  </si>
  <si>
    <t>241-00-00-0000-3655-000</t>
  </si>
  <si>
    <t>Residential Multiple Family (SF)</t>
  </si>
  <si>
    <t>Residential Mobile Home (SF)</t>
  </si>
  <si>
    <t>Large Residential ADU (750 SF or greater) (1)</t>
  </si>
  <si>
    <t>Commercial (2)</t>
  </si>
  <si>
    <t>building area SF</t>
  </si>
  <si>
    <t>Office (2)</t>
  </si>
  <si>
    <t>Industrial (2)</t>
  </si>
  <si>
    <t>Residential Total Fees</t>
  </si>
  <si>
    <t>Non-Residential Total Fees</t>
  </si>
  <si>
    <t>Mixed Use Credit (3)</t>
  </si>
  <si>
    <t xml:space="preserve">TOTAL SONOMA COUNTY FIRE DISTRICT IMPACT FEES </t>
  </si>
  <si>
    <t>Windsor Fire Protection District</t>
  </si>
  <si>
    <t xml:space="preserve">2675-10 </t>
  </si>
  <si>
    <t>3347-17</t>
  </si>
  <si>
    <t>Sonoma County Fire District</t>
  </si>
  <si>
    <t>3696-21 (eff 11/1/21)</t>
  </si>
  <si>
    <t>Notes:</t>
  </si>
  <si>
    <t>(1) Pursuant to Govt Code 65852.2f.3.A, development impact fees for a new ADU must be imposed proportionately in relation to the SF of the primary dwelling unit. ADUs with less than 750 SF of living area are exempt.</t>
  </si>
  <si>
    <t>(2) A fee shall be charged and paid for each non-residential development involving any addition to any existing building or structure if the addition exceeds 1,000 square feet and if it increases the existing building or structure by twenty-five (25%) or more upon issuance of the building permit for such non-residential development. The non-rsidential fee shall be charged for "covered and enclosed space" within the perimeter of a non-residential structure.  Garages, parking structgure, unenclosed walkways, utility or disposal areas, and storage areas incidental to the principal use of the development are excluded.</t>
  </si>
  <si>
    <t>(3) The amount of the fee for mixed-use development shall be the sum of the following, as applicable:</t>
  </si>
  <si>
    <t>i. The applicable amount per residential unit, as calculated above.</t>
  </si>
  <si>
    <t>ii.  The applicable amount per 1,000 square feet of commercial space, as calculated above.</t>
  </si>
  <si>
    <t>iii. The total fee for the mixed-use development shall be decreased by 15% of the lower amount calculated in 3(i) and 3(ii), above.</t>
  </si>
  <si>
    <t>WINDSOR UNIFIED SCHOOL DISTRICT</t>
  </si>
  <si>
    <t>Unit or SF</t>
  </si>
  <si>
    <t>Residential</t>
  </si>
  <si>
    <t>square foot</t>
  </si>
  <si>
    <t>Mini Storage</t>
  </si>
  <si>
    <t xml:space="preserve">TOTAL WINDSOR UNIFIED SCHOOL DISTRICT IMPACT FEES </t>
  </si>
  <si>
    <t>1. Developer/Homeowner obtains Certificate of Compliance from Town of Windsor</t>
  </si>
  <si>
    <t>2. Town of Windsor verifies square footage</t>
  </si>
  <si>
    <t>3. Developer/Homeowner brings certificate and payment (see rates below) to WUSD's District office@ 9291 Old Redwood Hwy., #500, Windsor, CA</t>
  </si>
  <si>
    <t>4. The District office will prepare a receipt and record receipt number on form. Payment, certificate copy, and cash receipt to be given to Business Office.</t>
  </si>
  <si>
    <t>TOWN OF WINDSOR</t>
  </si>
  <si>
    <t xml:space="preserve">HOUSING IN-LIEU FEES </t>
  </si>
  <si>
    <t>APN:</t>
  </si>
  <si>
    <t>Subdivision:</t>
  </si>
  <si>
    <t>Lot No:</t>
  </si>
  <si>
    <t>If Tenant Improvement permit,</t>
  </si>
  <si>
    <t>the initial Bldg Permit was:</t>
  </si>
  <si>
    <t>Prepared By:</t>
  </si>
  <si>
    <t>Total due with this Building Permit:</t>
  </si>
  <si>
    <t>Unit Type by Size (SF)</t>
  </si>
  <si>
    <t># Units</t>
  </si>
  <si>
    <t>SF/DU</t>
  </si>
  <si>
    <t>Fee/SF</t>
  </si>
  <si>
    <t>Flat Fee Per Unit</t>
  </si>
  <si>
    <t>Up to 999</t>
  </si>
  <si>
    <t>N/A</t>
  </si>
  <si>
    <t>Total Housing In-Lieu Fees</t>
  </si>
  <si>
    <t>TREE MITIGATION IN-LIEU FEES</t>
  </si>
  <si>
    <t>Tree #</t>
  </si>
  <si>
    <t>Diameter (In)</t>
  </si>
  <si>
    <t>% Mitigated</t>
  </si>
  <si>
    <t>Notes</t>
  </si>
  <si>
    <t>Mitigation Fees</t>
  </si>
  <si>
    <t>Cells 59 - 108 Hidden.  Option to unhide to add additional trees</t>
  </si>
  <si>
    <t>Total costs are hardcoded to the summary page, no need to update formula</t>
  </si>
  <si>
    <t>In-Lieu Replacement Fees</t>
  </si>
  <si>
    <t>2" tree</t>
  </si>
  <si>
    <t>3" tree</t>
  </si>
  <si>
    <t>4" tree</t>
  </si>
  <si>
    <t>Subject to change pending confirmation of on-site tree replacement mitigation.</t>
  </si>
  <si>
    <t>Administrative Fee</t>
  </si>
  <si>
    <t>Fee Adjustment Calculation</t>
  </si>
  <si>
    <t>Fee Adjustment Per Resolution - Section 12 *</t>
  </si>
  <si>
    <t>Component</t>
  </si>
  <si>
    <t>Beginning Factor</t>
  </si>
  <si>
    <t>Ending    Factor</t>
  </si>
  <si>
    <t>Difference</t>
  </si>
  <si>
    <r>
      <t xml:space="preserve">% </t>
    </r>
    <r>
      <rPr>
        <b/>
        <u/>
        <sz val="10"/>
        <rFont val="Arial"/>
        <family val="2"/>
      </rPr>
      <t>Increase</t>
    </r>
  </si>
  <si>
    <t xml:space="preserve">  Notes</t>
  </si>
  <si>
    <t>&lt;-- CPI - All Urban Consumers for San Francisco - Oakland - San Jose by US Dept of Labor for April</t>
  </si>
  <si>
    <t>Construction costs - ENR (Apr to Apr)</t>
  </si>
  <si>
    <t xml:space="preserve">Applies to Traffic Mit, Public Facil, Fire Facil &amp; Park Development Impact Fees </t>
  </si>
  <si>
    <t>Construction costs - ENR (Jun to Jun)</t>
  </si>
  <si>
    <t>Applies to Water Capacity Fee &amp; Water Reclamation Capacity Fees, Drainage</t>
  </si>
  <si>
    <t>Land acquisition costs</t>
  </si>
  <si>
    <t>No longer applies to Drainage</t>
  </si>
  <si>
    <t xml:space="preserve">NOTES: </t>
  </si>
  <si>
    <t>Land acquisition costs - ENR (Apr)</t>
  </si>
  <si>
    <t xml:space="preserve">Applies to Public Facilities &amp; Park Development Impact Fees </t>
  </si>
  <si>
    <t>Only change the cells that are in RED</t>
  </si>
  <si>
    <t>Facilities costs</t>
  </si>
  <si>
    <t xml:space="preserve">Applies to Facilities Component of Impact Fees </t>
  </si>
  <si>
    <t>Cells in grey are formula based.  Do not touch</t>
  </si>
  <si>
    <t>Take C6 number and enter into B6 which will start the beginning factor from prior year info.  The NEW C6 will be from ENR</t>
  </si>
  <si>
    <t>*  The fee adjustment for: (1) construction costs is based on ENR construction cost indices; (2) land acquisition costs is based on 5/05 and 5/06 estimates</t>
  </si>
  <si>
    <t>Repeat for C7 &amp; C10</t>
  </si>
  <si>
    <t xml:space="preserve">     or ENR for fees adopted in 2010; (3) facilities costs is based on prior year x All Urban Consumers CPI inflation adjustment.</t>
  </si>
  <si>
    <t>ENR website for construction costs https://www.enr.com/economics/historical_indices/construction_cost_index_history</t>
  </si>
  <si>
    <t>Note:  The tables below of construction, land acquisition and facilities costs are from the development impact fee consultant reports.</t>
  </si>
  <si>
    <t>Water Capacity Fees</t>
  </si>
  <si>
    <t>Table 1</t>
  </si>
  <si>
    <t>% of Total</t>
  </si>
  <si>
    <t>Construction costs</t>
  </si>
  <si>
    <t>NOTES:</t>
  </si>
  <si>
    <t>Update cells B27-B43 with prior Effective rates located in cells K27-K44</t>
  </si>
  <si>
    <t xml:space="preserve">Total  </t>
  </si>
  <si>
    <t>Cells K27-K44 will automatically populate by the formuas above</t>
  </si>
  <si>
    <t>Resolution 1566-03 effective 12/3/03; Resolution 2764-11 effective 3/20/11; Resolution 1864-17 effective 4/16/17</t>
  </si>
  <si>
    <t>Effective date will be updated by cell K133</t>
  </si>
  <si>
    <t xml:space="preserve">Apportionment </t>
  </si>
  <si>
    <t>With % Increase (per fee adjmt above)</t>
  </si>
  <si>
    <t>REPEAT steps below for the remaining Fees</t>
  </si>
  <si>
    <t>Prior Fee</t>
  </si>
  <si>
    <t>Const.</t>
  </si>
  <si>
    <t>Land Acq.</t>
  </si>
  <si>
    <t>Facil.</t>
  </si>
  <si>
    <t>Standard Single Family</t>
  </si>
  <si>
    <t xml:space="preserve">  Small Single Residence (2)</t>
  </si>
  <si>
    <t>/residence</t>
  </si>
  <si>
    <t>Single Family Residential (1)</t>
  </si>
  <si>
    <t xml:space="preserve">  Accessory Dwelling Unit(ADU) (3)</t>
  </si>
  <si>
    <t>Multi-Family Residential (4)</t>
  </si>
  <si>
    <t xml:space="preserve">   Per Dweling Unit</t>
  </si>
  <si>
    <t>Non-Residential:</t>
  </si>
  <si>
    <t xml:space="preserve">  1 inch</t>
  </si>
  <si>
    <t>/meter</t>
  </si>
  <si>
    <t xml:space="preserve">  1-1/2 inch</t>
  </si>
  <si>
    <t xml:space="preserve">  2 inch </t>
  </si>
  <si>
    <t xml:space="preserve">  3 inch</t>
  </si>
  <si>
    <t xml:space="preserve">  4 inch</t>
  </si>
  <si>
    <t xml:space="preserve">  6 inch</t>
  </si>
  <si>
    <t xml:space="preserve">  8 inch</t>
  </si>
  <si>
    <t>Dedicated Irrigation</t>
  </si>
  <si>
    <t xml:space="preserve">  1-1/2 Inch</t>
  </si>
  <si>
    <t xml:space="preserve">(1) Each of the water meters in this category is sized up to and including 1" meter.  If special situation requires the use of a larger meter, additional fees will be due and payable, </t>
  </si>
  <si>
    <t>as determined by the Director of Public Works.</t>
  </si>
  <si>
    <t>(2) Small single family residence has been defined as loys up to 4,000 sq. ft. and building size up to 1,200 sq. ft.</t>
  </si>
  <si>
    <t>(3) ADUs shall not have separate water service connections and are not subject to a water capacity fee.  Additional costs may be incurred if a proposed development</t>
  </si>
  <si>
    <t xml:space="preserve"> requires changes to a service size or location to meet excisting standards.</t>
  </si>
  <si>
    <t>(4) Includes duplex, triplex, fourplex, townhome, apartment, condominium and live/work units and manufactured (including mobile) homes without a permanent foundation.</t>
  </si>
  <si>
    <t>Water Reclamation Capacity Fees</t>
  </si>
  <si>
    <t>Resolution 3045-13 effective 1/18/14; Resolution 3087-14 effective 5/12/2014; Resolution 1865-17 effective 4/16/17</t>
  </si>
  <si>
    <t>Single Family Residential:</t>
  </si>
  <si>
    <t xml:space="preserve">  Small Single Family Residence (1)</t>
  </si>
  <si>
    <t xml:space="preserve">  Standard Single Family Residential (SFR)</t>
  </si>
  <si>
    <t>per SFR</t>
  </si>
  <si>
    <t xml:space="preserve">  Accessory Dwelling Unit (ADU) (2)</t>
  </si>
  <si>
    <t>Multi-family Residential (3):</t>
  </si>
  <si>
    <t xml:space="preserve">  Per Dwelling Unit</t>
  </si>
  <si>
    <t>per DU</t>
  </si>
  <si>
    <t>Non-standard Development Projects (5)</t>
  </si>
  <si>
    <t>per ESD</t>
  </si>
  <si>
    <t>Nonresidential (4):</t>
  </si>
  <si>
    <t>Low</t>
  </si>
  <si>
    <t>Medium</t>
  </si>
  <si>
    <t>High</t>
  </si>
  <si>
    <t>(1) Small single family residence has been defined as lots up to 4,000 sq. ft. and building size up to 1,200 sq. ft.</t>
  </si>
  <si>
    <t>(2) ADUs shall not have separate water service connections and are not subject to a water capacity fee.  Additional costs may be incurred if a proposed development</t>
  </si>
  <si>
    <t>(3) Includes duplex, triplex, fourplex, townhome, apartment, condominium and live/work units and manufactured (including mobile) homes without a permanent foundation.</t>
  </si>
  <si>
    <t xml:space="preserve">(4) Wastewater strength categories (low, medium and high) are used for both capacity fee and monthly wastewater billing puposes, and is based on historic practices within </t>
  </si>
  <si>
    <t>the Town and published data.</t>
  </si>
  <si>
    <t xml:space="preserve">(5) For new connections with non-standard waste characteristics, the waste water capacity fee shall be determined based on the number of equivalent single-family </t>
  </si>
  <si>
    <t>dwellings (ESD's) as follows:</t>
  </si>
  <si>
    <t>WWCF=$10519 x Flow / 200 x [0.83 + (0.12 x BOD / 200) + (0.05 x TSS / 175)]</t>
  </si>
  <si>
    <t xml:space="preserve">Where: </t>
  </si>
  <si>
    <t>WWCF= Calculated wastewater capacity fee</t>
  </si>
  <si>
    <t>Flow= Wastewater flow in gallons per day</t>
  </si>
  <si>
    <t>BOD= Biochemical oxygen demand of discharge in mg/l</t>
  </si>
  <si>
    <t>TSS= Total suspended solids of discharge in mg/l</t>
  </si>
  <si>
    <t>Non standard may include, but is not limited to, food processing, beverage manufacturing, wine production and breweries</t>
  </si>
  <si>
    <t>(6) Small Wineries from prior FY have been removed</t>
  </si>
  <si>
    <t>Traffic Impact Fees</t>
  </si>
  <si>
    <t>Page 26</t>
  </si>
  <si>
    <t>Resolution 3590-20</t>
  </si>
  <si>
    <t>Apportionment (per % above)</t>
  </si>
  <si>
    <t xml:space="preserve">Residential - </t>
  </si>
  <si>
    <t xml:space="preserve">  Single Family</t>
  </si>
  <si>
    <t>/unit</t>
  </si>
  <si>
    <t xml:space="preserve">  Multi-family</t>
  </si>
  <si>
    <t xml:space="preserve">  Additional Dwelling Unit (ADU)/Unit</t>
  </si>
  <si>
    <t>/1000 sq ft</t>
  </si>
  <si>
    <t>Light Industrial</t>
  </si>
  <si>
    <t>Institutional/KSF</t>
  </si>
  <si>
    <t>Drainage Impact Fees</t>
  </si>
  <si>
    <t>Table 3</t>
  </si>
  <si>
    <t xml:space="preserve">Resolution 3598-19 </t>
  </si>
  <si>
    <t xml:space="preserve">Nonresidential - </t>
  </si>
  <si>
    <t xml:space="preserve">  Commercial</t>
  </si>
  <si>
    <t xml:space="preserve">  Industrial</t>
  </si>
  <si>
    <t>Park Development Impact Fees</t>
  </si>
  <si>
    <t>*Note cells 140-151 hidden to calculate effective fee need to unhide</t>
  </si>
  <si>
    <t>Resolution 2673-10 effective 6/21/10; Resolution 3339-17 effective 5/1/17</t>
  </si>
  <si>
    <t>/dwelling unit</t>
  </si>
  <si>
    <t>Multi-family</t>
  </si>
  <si>
    <t>Mobile Home</t>
  </si>
  <si>
    <t>Accessory Unit &gt; 500 SF</t>
  </si>
  <si>
    <t>Accessory Unit &lt;=500 SF</t>
  </si>
  <si>
    <t>Park Land Acquisition &amp; Improvement Fee</t>
  </si>
  <si>
    <t>Park Improvement Fee</t>
  </si>
  <si>
    <t>Recreation Impact Fee</t>
  </si>
  <si>
    <t>Table 5, 7</t>
  </si>
  <si>
    <t>Resolution 2673-10 effective 6/21/10; Resolution 3340-17 effective 5/1/17</t>
  </si>
  <si>
    <t>Apportionment</t>
  </si>
  <si>
    <t>Open Space Impact Fees</t>
  </si>
  <si>
    <t>Resolution 3341-17 effective 5/1/17</t>
  </si>
  <si>
    <t>Trails Impact Fees</t>
  </si>
  <si>
    <t>Resolution 3342-17 effective 5/1/17</t>
  </si>
  <si>
    <t>Public Facilities Impact Fees</t>
  </si>
  <si>
    <t>Table 2</t>
  </si>
  <si>
    <t>Resolution 2674-10 effective 6/21/10; Resolution 3343-17 effective 5/1/17</t>
  </si>
  <si>
    <t xml:space="preserve">  Office</t>
  </si>
  <si>
    <t>Police Impact Fees</t>
  </si>
  <si>
    <t>Fire Facilities Impact Fees</t>
  </si>
  <si>
    <t>Facilities costs (less interest exp)</t>
  </si>
  <si>
    <t>Resolution 3696-21 Effective November 1, 2021</t>
  </si>
  <si>
    <t>/sq ft</t>
  </si>
  <si>
    <t>Accessory Unit &gt; 750 SF</t>
  </si>
  <si>
    <t>Accessory Unit &lt; 750 SF</t>
  </si>
  <si>
    <t xml:space="preserve">  Retail/Commercial</t>
  </si>
  <si>
    <t>Effective 7/1/26</t>
  </si>
  <si>
    <t>Development Impact Fee Adjustment Effective July 1, 2026</t>
  </si>
  <si>
    <t>Old GL</t>
  </si>
  <si>
    <t>New GL</t>
  </si>
  <si>
    <t>Charge Code</t>
  </si>
  <si>
    <t>DRIMRS</t>
  </si>
  <si>
    <t>DRIMNR</t>
  </si>
  <si>
    <t>TRFMNR</t>
  </si>
  <si>
    <t>TRFMRS</t>
  </si>
  <si>
    <t>440-00-00-0000-3687-000 New GL: 70-00-00-0000-8850-  Chrg Code: WTMTIN</t>
  </si>
  <si>
    <t>71-00-00-0000-8850-</t>
  </si>
  <si>
    <t>WCONRS</t>
  </si>
  <si>
    <t>WCONNR</t>
  </si>
  <si>
    <t>WCONAP</t>
  </si>
  <si>
    <t>WCONSH</t>
  </si>
  <si>
    <r>
      <t>460-00-00-0000-3660-</t>
    </r>
    <r>
      <rPr>
        <b/>
        <sz val="12"/>
        <color rgb="FFFF0000"/>
        <rFont val="Calibri"/>
        <family val="2"/>
        <scheme val="minor"/>
      </rPr>
      <t>xxx</t>
    </r>
    <r>
      <rPr>
        <b/>
        <sz val="12"/>
        <rFont val="Calibri"/>
        <family val="2"/>
        <scheme val="minor"/>
      </rPr>
      <t xml:space="preserve">  New GL: 71-00-00-0000-8850- </t>
    </r>
  </si>
  <si>
    <t xml:space="preserve">Need to determine if by charge code: </t>
  </si>
  <si>
    <t>WCONNR = Commercial</t>
  </si>
  <si>
    <t>WCONAP = Airport Area</t>
  </si>
  <si>
    <t xml:space="preserve">WCONSH = Shiloh/Maya Area </t>
  </si>
  <si>
    <t>42-00-00-0000-8880-</t>
  </si>
  <si>
    <t>47-00-00-0000-8880-</t>
  </si>
  <si>
    <t>440-00-00-0000-3387-000 New GL:  70-00-00-0000-8850- Chr Code: RCYMTR</t>
  </si>
  <si>
    <t>IRRCON</t>
  </si>
  <si>
    <t>RCYCON</t>
  </si>
  <si>
    <t>61-00-00-0000-8850-</t>
  </si>
  <si>
    <t>WRCNRS</t>
  </si>
  <si>
    <t>WRCNNR</t>
  </si>
  <si>
    <t>48-00-00-0000-8880</t>
  </si>
  <si>
    <t>POLMIT</t>
  </si>
  <si>
    <t>43-00-00-0000-8880</t>
  </si>
  <si>
    <t>PRKIMP</t>
  </si>
  <si>
    <t>44-00-00-0000-8880</t>
  </si>
  <si>
    <t>RCDVRS</t>
  </si>
  <si>
    <t>45-00-00-0000-8880</t>
  </si>
  <si>
    <t>NWTRDR</t>
  </si>
  <si>
    <t>46-00-00-0000-8880</t>
  </si>
  <si>
    <t>OPSPRS</t>
  </si>
  <si>
    <t>40-00-00-0000-8880</t>
  </si>
  <si>
    <t>PUFCRS</t>
  </si>
  <si>
    <t>PUFCNR</t>
  </si>
  <si>
    <t>49-00-00-0000-8880</t>
  </si>
  <si>
    <t>FIRMIT</t>
  </si>
  <si>
    <t>195-00-00-0000-3655-601</t>
  </si>
  <si>
    <t>TREMNR</t>
  </si>
  <si>
    <t>Legacy</t>
  </si>
  <si>
    <t>Security Deposit</t>
  </si>
  <si>
    <t>Per HB</t>
  </si>
  <si>
    <t>as of 7/1/26</t>
  </si>
  <si>
    <t>Rates Effective July 1, 2026</t>
  </si>
  <si>
    <t>Legacy GL</t>
  </si>
  <si>
    <t>41-00-00-0000-8880-</t>
  </si>
  <si>
    <t>CDTRDP</t>
  </si>
  <si>
    <t>41-00-00-0000-9530-</t>
  </si>
  <si>
    <t xml:space="preserve">      (1) Based on valuation and Fiscal Year 26-27 permit fee schedule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</si>
</sst>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"/>
    <numFmt numFmtId="165" formatCode="_(&quot;$&quot;* #,##0_);_(&quot;$&quot;* \(#,##0\);_(&quot;$&quot;* &quot;-&quot;??_);_(@_)"/>
    <numFmt numFmtId="166" formatCode="_(* #,##0_);_(* \(#,##0\);_(* &quot;-&quot;??_);_(@_)"/>
    <numFmt numFmtId="167" formatCode="&quot;$&quot;#,##0.00"/>
    <numFmt numFmtId="168" formatCode="_(* #,##0.00_);_(* \(#,##0.00\);_(* &quot;-&quot;_);_(@_)"/>
    <numFmt numFmtId="169" formatCode="_(&quot;$&quot;* #,##0.00_);_(&quot;$&quot;* \(#,##0.00\);_(&quot;$&quot;* &quot;-&quot;_);_(@_)"/>
  </numFmts>
  <fonts count="56">
    <font>
      <sz val="10"/>
      <name val="Times New Rom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color rgb="FFFF0000"/>
      <name val="Arial"/>
      <family val="2"/>
    </font>
    <font>
      <sz val="10"/>
      <name val="Arial"/>
      <family val="2"/>
    </font>
    <font>
      <u val="doubleAccounting"/>
      <sz val="10"/>
      <name val="Arial"/>
      <family val="2"/>
    </font>
    <font>
      <b/>
      <sz val="10"/>
      <name val="Arial"/>
      <family val="2"/>
    </font>
    <font>
      <sz val="10"/>
      <name val="Swis721 LtCn BT"/>
      <family val="2"/>
    </font>
    <font>
      <sz val="10"/>
      <color theme="3"/>
      <name val="Swis721 LtCn BT"/>
      <family val="2"/>
    </font>
    <font>
      <b/>
      <sz val="10"/>
      <color rgb="FFFF0000"/>
      <name val="Swis721 LtCn BT"/>
      <family val="2"/>
    </font>
    <font>
      <b/>
      <sz val="10"/>
      <name val="Swis721 BlkCn BT"/>
      <family val="2"/>
    </font>
    <font>
      <sz val="10"/>
      <name val="Swis721 LtCn BT"/>
    </font>
    <font>
      <sz val="10"/>
      <name val="Swis721 BlkCn BT"/>
      <family val="2"/>
    </font>
    <font>
      <sz val="20"/>
      <color theme="0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sz val="20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indexed="1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u val="doubleAccounting"/>
      <sz val="12"/>
      <name val="Calibri"/>
      <family val="2"/>
      <scheme val="minor"/>
    </font>
    <font>
      <sz val="10"/>
      <name val="Times New Roman"/>
      <family val="1"/>
    </font>
    <font>
      <b/>
      <sz val="10"/>
      <name val="Swis721 LtCn BT"/>
    </font>
    <font>
      <sz val="16"/>
      <color theme="0"/>
      <name val="Arial"/>
      <family val="2"/>
    </font>
    <font>
      <sz val="16"/>
      <color theme="0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b/>
      <sz val="10"/>
      <color rgb="FF0070C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u val="singleAccounting"/>
      <sz val="10"/>
      <name val="Arial"/>
      <family val="2"/>
    </font>
    <font>
      <i/>
      <sz val="1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color rgb="FF000000"/>
      <name val="Calibri"/>
      <family val="2"/>
    </font>
    <font>
      <b/>
      <sz val="11"/>
      <color theme="1"/>
      <name val="Calibri"/>
      <family val="2"/>
    </font>
    <font>
      <b/>
      <sz val="1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7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9">
    <xf numFmtId="0" fontId="0" fillId="0" borderId="0"/>
    <xf numFmtId="44" fontId="6" fillId="0" borderId="0" applyFont="0" applyFill="0" applyBorder="0" applyAlignment="0" applyProtection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" fillId="0" borderId="0"/>
    <xf numFmtId="43" fontId="37" fillId="0" borderId="0" applyFont="0" applyFill="0" applyBorder="0" applyAlignment="0" applyProtection="0"/>
    <xf numFmtId="0" fontId="41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</cellStyleXfs>
  <cellXfs count="819">
    <xf numFmtId="0" fontId="0" fillId="0" borderId="0" xfId="0"/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164" fontId="7" fillId="6" borderId="13" xfId="2" applyNumberFormat="1" applyFont="1" applyFill="1" applyBorder="1" applyAlignment="1">
      <alignment vertical="center"/>
    </xf>
    <xf numFmtId="0" fontId="8" fillId="0" borderId="16" xfId="2" applyFont="1" applyBorder="1" applyAlignment="1" applyProtection="1">
      <alignment horizontal="center" vertical="center"/>
      <protection locked="0"/>
    </xf>
    <xf numFmtId="0" fontId="9" fillId="0" borderId="13" xfId="2" applyFont="1" applyBorder="1" applyAlignment="1" applyProtection="1">
      <alignment horizontal="center" vertical="center"/>
      <protection locked="0"/>
    </xf>
    <xf numFmtId="0" fontId="10" fillId="0" borderId="13" xfId="2" applyFont="1" applyBorder="1" applyAlignment="1" applyProtection="1">
      <alignment vertical="center"/>
      <protection locked="0"/>
    </xf>
    <xf numFmtId="0" fontId="8" fillId="0" borderId="0" xfId="0" applyFont="1" applyProtection="1">
      <protection locked="0"/>
    </xf>
    <xf numFmtId="44" fontId="8" fillId="0" borderId="0" xfId="1" applyFont="1" applyFill="1" applyBorder="1" applyAlignment="1" applyProtection="1">
      <alignment horizontal="center" vertical="center"/>
    </xf>
    <xf numFmtId="0" fontId="8" fillId="0" borderId="18" xfId="2" applyFont="1" applyBorder="1" applyAlignment="1" applyProtection="1">
      <alignment horizontal="center" wrapText="1"/>
      <protection locked="0"/>
    </xf>
    <xf numFmtId="0" fontId="8" fillId="0" borderId="1" xfId="2" applyFont="1" applyBorder="1" applyAlignment="1" applyProtection="1">
      <alignment horizontal="center" wrapText="1"/>
      <protection locked="0"/>
    </xf>
    <xf numFmtId="164" fontId="8" fillId="0" borderId="17" xfId="2" applyNumberFormat="1" applyFont="1" applyBorder="1" applyAlignment="1" applyProtection="1">
      <alignment horizontal="center"/>
      <protection locked="0"/>
    </xf>
    <xf numFmtId="0" fontId="8" fillId="0" borderId="1" xfId="2" applyFont="1" applyBorder="1" applyAlignment="1" applyProtection="1">
      <alignment horizontal="center"/>
      <protection locked="0"/>
    </xf>
    <xf numFmtId="164" fontId="8" fillId="0" borderId="1" xfId="2" applyNumberFormat="1" applyFont="1" applyBorder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6" fillId="0" borderId="43" xfId="0" applyFont="1" applyBorder="1" applyProtection="1">
      <protection locked="0"/>
    </xf>
    <xf numFmtId="0" fontId="14" fillId="0" borderId="43" xfId="2" applyFont="1" applyBorder="1" applyAlignment="1" applyProtection="1">
      <alignment horizontal="right" vertical="center"/>
      <protection locked="0"/>
    </xf>
    <xf numFmtId="0" fontId="6" fillId="0" borderId="36" xfId="0" applyFont="1" applyBorder="1" applyProtection="1">
      <protection locked="0"/>
    </xf>
    <xf numFmtId="0" fontId="18" fillId="0" borderId="0" xfId="0" applyFont="1"/>
    <xf numFmtId="0" fontId="19" fillId="0" borderId="0" xfId="0" applyFont="1"/>
    <xf numFmtId="0" fontId="21" fillId="0" borderId="0" xfId="0" applyFont="1"/>
    <xf numFmtId="0" fontId="20" fillId="2" borderId="0" xfId="2" applyFont="1" applyFill="1" applyAlignment="1">
      <alignment vertical="top"/>
    </xf>
    <xf numFmtId="0" fontId="20" fillId="2" borderId="49" xfId="2" applyFont="1" applyFill="1" applyBorder="1" applyAlignment="1">
      <alignment vertical="top"/>
    </xf>
    <xf numFmtId="0" fontId="20" fillId="2" borderId="43" xfId="2" applyFont="1" applyFill="1" applyBorder="1" applyAlignment="1">
      <alignment vertical="top"/>
    </xf>
    <xf numFmtId="0" fontId="20" fillId="2" borderId="37" xfId="2" applyFont="1" applyFill="1" applyBorder="1" applyAlignment="1">
      <alignment vertical="top"/>
    </xf>
    <xf numFmtId="0" fontId="19" fillId="0" borderId="16" xfId="0" applyFont="1" applyBorder="1" applyAlignment="1">
      <alignment horizontal="left"/>
    </xf>
    <xf numFmtId="0" fontId="19" fillId="0" borderId="24" xfId="2" applyFont="1" applyBorder="1" applyAlignment="1">
      <alignment horizontal="center" vertical="top"/>
    </xf>
    <xf numFmtId="0" fontId="19" fillId="0" borderId="1" xfId="2" applyFont="1" applyBorder="1" applyAlignment="1">
      <alignment horizontal="center" vertical="top"/>
    </xf>
    <xf numFmtId="164" fontId="19" fillId="0" borderId="24" xfId="2" applyNumberFormat="1" applyFont="1" applyBorder="1" applyAlignment="1">
      <alignment horizontal="center" vertical="top"/>
    </xf>
    <xf numFmtId="0" fontId="19" fillId="0" borderId="3" xfId="2" applyFont="1" applyBorder="1" applyAlignment="1">
      <alignment horizontal="left" vertical="top"/>
    </xf>
    <xf numFmtId="0" fontId="19" fillId="0" borderId="16" xfId="2" applyFont="1" applyBorder="1" applyAlignment="1">
      <alignment horizontal="center" vertical="top"/>
    </xf>
    <xf numFmtId="0" fontId="19" fillId="0" borderId="31" xfId="2" applyFont="1" applyBorder="1" applyAlignment="1">
      <alignment horizontal="left" vertical="top"/>
    </xf>
    <xf numFmtId="0" fontId="18" fillId="0" borderId="0" xfId="0" quotePrefix="1" applyFont="1"/>
    <xf numFmtId="0" fontId="36" fillId="0" borderId="0" xfId="2" applyFont="1" applyAlignment="1">
      <alignment horizontal="center" vertical="center"/>
    </xf>
    <xf numFmtId="0" fontId="36" fillId="0" borderId="0" xfId="2" applyFont="1" applyAlignment="1">
      <alignment vertical="center"/>
    </xf>
    <xf numFmtId="0" fontId="19" fillId="0" borderId="0" xfId="2" applyFont="1" applyAlignment="1">
      <alignment horizontal="right" vertical="center"/>
    </xf>
    <xf numFmtId="164" fontId="19" fillId="0" borderId="0" xfId="2" applyNumberFormat="1" applyFont="1" applyAlignment="1">
      <alignment vertical="center"/>
    </xf>
    <xf numFmtId="0" fontId="18" fillId="0" borderId="0" xfId="0" applyFont="1" applyAlignment="1">
      <alignment wrapText="1"/>
    </xf>
    <xf numFmtId="0" fontId="18" fillId="0" borderId="0" xfId="0" applyFont="1" applyAlignment="1">
      <alignment horizontal="center"/>
    </xf>
    <xf numFmtId="0" fontId="18" fillId="0" borderId="8" xfId="0" applyFont="1" applyBorder="1"/>
    <xf numFmtId="0" fontId="18" fillId="0" borderId="2" xfId="0" applyFont="1" applyBorder="1"/>
    <xf numFmtId="0" fontId="18" fillId="0" borderId="3" xfId="0" applyFont="1" applyBorder="1"/>
    <xf numFmtId="165" fontId="18" fillId="0" borderId="4" xfId="1" applyNumberFormat="1" applyFont="1" applyBorder="1"/>
    <xf numFmtId="0" fontId="18" fillId="0" borderId="5" xfId="0" applyFont="1" applyBorder="1"/>
    <xf numFmtId="165" fontId="18" fillId="0" borderId="7" xfId="1" applyNumberFormat="1" applyFont="1" applyBorder="1"/>
    <xf numFmtId="0" fontId="24" fillId="0" borderId="0" xfId="0" applyFont="1" applyProtection="1">
      <protection locked="0"/>
    </xf>
    <xf numFmtId="0" fontId="19" fillId="0" borderId="0" xfId="0" applyFont="1" applyProtection="1">
      <protection locked="0"/>
    </xf>
    <xf numFmtId="0" fontId="20" fillId="4" borderId="27" xfId="0" applyFont="1" applyFill="1" applyBorder="1" applyAlignment="1" applyProtection="1">
      <alignment wrapText="1"/>
      <protection locked="0"/>
    </xf>
    <xf numFmtId="0" fontId="20" fillId="4" borderId="19" xfId="0" applyFont="1" applyFill="1" applyBorder="1" applyProtection="1">
      <protection locked="0"/>
    </xf>
    <xf numFmtId="0" fontId="20" fillId="4" borderId="26" xfId="0" applyFont="1" applyFill="1" applyBorder="1" applyAlignment="1" applyProtection="1">
      <alignment horizontal="left"/>
      <protection locked="0"/>
    </xf>
    <xf numFmtId="166" fontId="19" fillId="4" borderId="27" xfId="8" applyNumberFormat="1" applyFont="1" applyFill="1" applyBorder="1" applyAlignment="1" applyProtection="1">
      <alignment horizontal="center"/>
      <protection locked="0"/>
    </xf>
    <xf numFmtId="166" fontId="19" fillId="4" borderId="19" xfId="8" applyNumberFormat="1" applyFont="1" applyFill="1" applyBorder="1" applyAlignment="1" applyProtection="1">
      <alignment horizontal="center"/>
      <protection locked="0"/>
    </xf>
    <xf numFmtId="166" fontId="19" fillId="4" borderId="26" xfId="8" applyNumberFormat="1" applyFont="1" applyFill="1" applyBorder="1" applyAlignment="1" applyProtection="1">
      <alignment horizontal="center"/>
      <protection locked="0"/>
    </xf>
    <xf numFmtId="166" fontId="19" fillId="4" borderId="38" xfId="8" applyNumberFormat="1" applyFont="1" applyFill="1" applyBorder="1" applyAlignment="1" applyProtection="1">
      <alignment horizontal="center"/>
      <protection locked="0"/>
    </xf>
    <xf numFmtId="166" fontId="19" fillId="4" borderId="39" xfId="8" applyNumberFormat="1" applyFont="1" applyFill="1" applyBorder="1" applyAlignment="1" applyProtection="1">
      <alignment horizontal="center"/>
      <protection locked="0"/>
    </xf>
    <xf numFmtId="49" fontId="19" fillId="4" borderId="27" xfId="0" applyNumberFormat="1" applyFont="1" applyFill="1" applyBorder="1" applyAlignment="1" applyProtection="1">
      <alignment horizontal="center"/>
      <protection locked="0"/>
    </xf>
    <xf numFmtId="49" fontId="19" fillId="4" borderId="19" xfId="0" applyNumberFormat="1" applyFont="1" applyFill="1" applyBorder="1" applyAlignment="1" applyProtection="1">
      <alignment horizontal="center"/>
      <protection locked="0"/>
    </xf>
    <xf numFmtId="49" fontId="19" fillId="4" borderId="26" xfId="0" applyNumberFormat="1" applyFont="1" applyFill="1" applyBorder="1" applyAlignment="1" applyProtection="1">
      <alignment horizontal="center"/>
      <protection locked="0"/>
    </xf>
    <xf numFmtId="49" fontId="19" fillId="4" borderId="27" xfId="0" applyNumberFormat="1" applyFont="1" applyFill="1" applyBorder="1" applyAlignment="1" applyProtection="1">
      <alignment horizontal="center" vertical="center"/>
      <protection locked="0"/>
    </xf>
    <xf numFmtId="49" fontId="19" fillId="4" borderId="19" xfId="0" applyNumberFormat="1" applyFont="1" applyFill="1" applyBorder="1" applyAlignment="1" applyProtection="1">
      <alignment horizontal="center" vertical="center"/>
      <protection locked="0"/>
    </xf>
    <xf numFmtId="49" fontId="19" fillId="4" borderId="26" xfId="0" applyNumberFormat="1" applyFont="1" applyFill="1" applyBorder="1" applyAlignment="1" applyProtection="1">
      <alignment horizontal="center" vertical="center"/>
      <protection locked="0"/>
    </xf>
    <xf numFmtId="49" fontId="26" fillId="4" borderId="19" xfId="0" applyNumberFormat="1" applyFont="1" applyFill="1" applyBorder="1" applyAlignment="1" applyProtection="1">
      <alignment horizontal="center" vertical="center"/>
      <protection locked="0"/>
    </xf>
    <xf numFmtId="0" fontId="19" fillId="4" borderId="19" xfId="0" applyFont="1" applyFill="1" applyBorder="1" applyAlignment="1" applyProtection="1">
      <alignment horizontal="center" vertical="center"/>
      <protection locked="0"/>
    </xf>
    <xf numFmtId="0" fontId="19" fillId="4" borderId="26" xfId="0" applyFont="1" applyFill="1" applyBorder="1" applyAlignment="1" applyProtection="1">
      <alignment horizontal="center" vertical="center"/>
      <protection locked="0"/>
    </xf>
    <xf numFmtId="0" fontId="19" fillId="4" borderId="27" xfId="0" applyFont="1" applyFill="1" applyBorder="1" applyAlignment="1" applyProtection="1">
      <alignment horizontal="center"/>
      <protection locked="0"/>
    </xf>
    <xf numFmtId="0" fontId="19" fillId="4" borderId="19" xfId="0" applyFont="1" applyFill="1" applyBorder="1" applyAlignment="1" applyProtection="1">
      <alignment horizontal="center"/>
      <protection locked="0"/>
    </xf>
    <xf numFmtId="0" fontId="22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wrapText="1"/>
      <protection locked="0"/>
    </xf>
    <xf numFmtId="0" fontId="18" fillId="0" borderId="0" xfId="0" applyFont="1" applyProtection="1">
      <protection locked="0"/>
    </xf>
    <xf numFmtId="0" fontId="19" fillId="0" borderId="0" xfId="2" applyFont="1" applyAlignment="1" applyProtection="1">
      <alignment vertical="center"/>
      <protection locked="0"/>
    </xf>
    <xf numFmtId="164" fontId="19" fillId="0" borderId="0" xfId="0" applyNumberFormat="1" applyFont="1" applyProtection="1">
      <protection locked="0"/>
    </xf>
    <xf numFmtId="0" fontId="29" fillId="0" borderId="0" xfId="0" applyFont="1" applyProtection="1">
      <protection locked="0"/>
    </xf>
    <xf numFmtId="0" fontId="19" fillId="2" borderId="0" xfId="2" applyFont="1" applyFill="1" applyAlignment="1">
      <alignment vertical="top"/>
    </xf>
    <xf numFmtId="0" fontId="19" fillId="0" borderId="0" xfId="0" applyFont="1" applyAlignment="1">
      <alignment horizontal="right" vertical="center"/>
    </xf>
    <xf numFmtId="0" fontId="25" fillId="7" borderId="33" xfId="0" applyFont="1" applyFill="1" applyBorder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left" vertical="center" wrapText="1"/>
    </xf>
    <xf numFmtId="0" fontId="19" fillId="2" borderId="0" xfId="2" applyFont="1" applyFill="1" applyAlignment="1">
      <alignment vertical="center"/>
    </xf>
    <xf numFmtId="0" fontId="19" fillId="2" borderId="0" xfId="2" applyFont="1" applyFill="1" applyAlignment="1">
      <alignment vertical="center" wrapText="1"/>
    </xf>
    <xf numFmtId="0" fontId="19" fillId="0" borderId="0" xfId="0" applyFont="1" applyAlignment="1">
      <alignment horizontal="left" vertical="center" indent="2"/>
    </xf>
    <xf numFmtId="0" fontId="19" fillId="2" borderId="0" xfId="2" applyFont="1" applyFill="1" applyAlignment="1">
      <alignment vertical="top" wrapText="1"/>
    </xf>
    <xf numFmtId="0" fontId="18" fillId="0" borderId="0" xfId="2" applyFont="1" applyAlignment="1" applyProtection="1">
      <alignment vertical="top"/>
      <protection locked="0"/>
    </xf>
    <xf numFmtId="0" fontId="29" fillId="0" borderId="0" xfId="2" applyFont="1" applyAlignment="1" applyProtection="1">
      <alignment vertical="top"/>
      <protection locked="0"/>
    </xf>
    <xf numFmtId="0" fontId="19" fillId="0" borderId="0" xfId="2" applyFont="1" applyAlignment="1" applyProtection="1">
      <alignment vertical="top"/>
      <protection locked="0"/>
    </xf>
    <xf numFmtId="0" fontId="20" fillId="0" borderId="0" xfId="2" applyFont="1" applyAlignment="1" applyProtection="1">
      <alignment vertical="top"/>
      <protection locked="0"/>
    </xf>
    <xf numFmtId="0" fontId="30" fillId="0" borderId="0" xfId="2" applyFont="1" applyAlignment="1" applyProtection="1">
      <alignment vertical="top"/>
      <protection locked="0"/>
    </xf>
    <xf numFmtId="0" fontId="18" fillId="0" borderId="0" xfId="2" applyFont="1" applyAlignment="1" applyProtection="1">
      <alignment horizontal="center" vertical="top"/>
      <protection locked="0"/>
    </xf>
    <xf numFmtId="164" fontId="18" fillId="0" borderId="0" xfId="2" applyNumberFormat="1" applyFont="1" applyAlignment="1" applyProtection="1">
      <alignment horizontal="center" vertical="top"/>
      <protection locked="0"/>
    </xf>
    <xf numFmtId="0" fontId="35" fillId="0" borderId="0" xfId="2" applyFont="1" applyAlignment="1" applyProtection="1">
      <alignment horizontal="center" vertical="top"/>
      <protection locked="0"/>
    </xf>
    <xf numFmtId="0" fontId="18" fillId="0" borderId="0" xfId="2" applyFont="1" applyAlignment="1" applyProtection="1">
      <alignment vertical="center"/>
      <protection locked="0"/>
    </xf>
    <xf numFmtId="0" fontId="20" fillId="0" borderId="36" xfId="0" applyFont="1" applyBorder="1" applyAlignment="1">
      <alignment horizontal="right"/>
    </xf>
    <xf numFmtId="0" fontId="20" fillId="0" borderId="43" xfId="0" applyFont="1" applyBorder="1" applyAlignment="1">
      <alignment horizontal="center"/>
    </xf>
    <xf numFmtId="0" fontId="29" fillId="0" borderId="0" xfId="0" applyFont="1"/>
    <xf numFmtId="0" fontId="23" fillId="0" borderId="0" xfId="0" applyFont="1"/>
    <xf numFmtId="0" fontId="18" fillId="0" borderId="0" xfId="0" applyFont="1" applyAlignment="1" applyProtection="1">
      <alignment horizontal="center"/>
      <protection locked="0"/>
    </xf>
    <xf numFmtId="0" fontId="22" fillId="0" borderId="0" xfId="0" applyFont="1" applyProtection="1">
      <protection locked="0"/>
    </xf>
    <xf numFmtId="0" fontId="18" fillId="0" borderId="0" xfId="0" applyFont="1" applyAlignment="1" applyProtection="1">
      <alignment horizontal="right"/>
      <protection locked="0"/>
    </xf>
    <xf numFmtId="0" fontId="18" fillId="0" borderId="40" xfId="0" applyFont="1" applyBorder="1"/>
    <xf numFmtId="0" fontId="19" fillId="0" borderId="42" xfId="0" applyFont="1" applyBorder="1"/>
    <xf numFmtId="0" fontId="19" fillId="0" borderId="0" xfId="0" applyFont="1" applyAlignment="1">
      <alignment horizontal="left" vertical="center" wrapText="1" indent="2"/>
    </xf>
    <xf numFmtId="0" fontId="19" fillId="0" borderId="0" xfId="0" applyFont="1" applyAlignment="1">
      <alignment horizontal="left" vertical="center"/>
    </xf>
    <xf numFmtId="166" fontId="19" fillId="8" borderId="27" xfId="8" applyNumberFormat="1" applyFont="1" applyFill="1" applyBorder="1" applyAlignment="1" applyProtection="1">
      <alignment horizontal="center"/>
    </xf>
    <xf numFmtId="165" fontId="20" fillId="6" borderId="47" xfId="1" applyNumberFormat="1" applyFont="1" applyFill="1" applyBorder="1" applyProtection="1"/>
    <xf numFmtId="0" fontId="35" fillId="5" borderId="62" xfId="2" applyFont="1" applyFill="1" applyBorder="1" applyAlignment="1" applyProtection="1">
      <alignment vertical="top"/>
      <protection locked="0"/>
    </xf>
    <xf numFmtId="0" fontId="29" fillId="0" borderId="16" xfId="0" applyFont="1" applyBorder="1"/>
    <xf numFmtId="0" fontId="19" fillId="0" borderId="3" xfId="0" applyFont="1" applyBorder="1" applyAlignment="1">
      <alignment horizontal="right" vertical="center"/>
    </xf>
    <xf numFmtId="0" fontId="19" fillId="0" borderId="16" xfId="0" applyFont="1" applyBorder="1"/>
    <xf numFmtId="0" fontId="20" fillId="0" borderId="0" xfId="0" applyFont="1" applyAlignment="1">
      <alignment horizontal="center" vertical="center"/>
    </xf>
    <xf numFmtId="167" fontId="20" fillId="0" borderId="0" xfId="0" applyNumberFormat="1" applyFont="1" applyAlignment="1">
      <alignment horizontal="center" vertical="center"/>
    </xf>
    <xf numFmtId="0" fontId="19" fillId="0" borderId="56" xfId="2" applyFont="1" applyBorder="1" applyAlignment="1">
      <alignment horizontal="left" vertical="top"/>
    </xf>
    <xf numFmtId="0" fontId="19" fillId="0" borderId="46" xfId="2" applyFont="1" applyBorder="1" applyAlignment="1">
      <alignment horizontal="left" vertical="top"/>
    </xf>
    <xf numFmtId="0" fontId="18" fillId="5" borderId="0" xfId="0" applyFont="1" applyFill="1"/>
    <xf numFmtId="0" fontId="19" fillId="0" borderId="60" xfId="0" applyFont="1" applyBorder="1" applyAlignment="1">
      <alignment vertical="center"/>
    </xf>
    <xf numFmtId="0" fontId="19" fillId="0" borderId="56" xfId="0" applyFont="1" applyBorder="1" applyAlignment="1">
      <alignment vertical="center"/>
    </xf>
    <xf numFmtId="0" fontId="18" fillId="8" borderId="0" xfId="0" applyFont="1" applyFill="1"/>
    <xf numFmtId="0" fontId="19" fillId="0" borderId="59" xfId="0" applyFont="1" applyBorder="1" applyAlignment="1">
      <alignment horizontal="right"/>
    </xf>
    <xf numFmtId="0" fontId="19" fillId="0" borderId="63" xfId="0" applyFont="1" applyBorder="1" applyAlignment="1">
      <alignment horizontal="right"/>
    </xf>
    <xf numFmtId="0" fontId="20" fillId="0" borderId="62" xfId="2" applyFont="1" applyBorder="1" applyAlignment="1">
      <alignment horizontal="center" vertical="center"/>
    </xf>
    <xf numFmtId="0" fontId="20" fillId="0" borderId="64" xfId="0" applyFont="1" applyBorder="1" applyAlignment="1">
      <alignment horizontal="right"/>
    </xf>
    <xf numFmtId="0" fontId="20" fillId="4" borderId="62" xfId="2" applyFont="1" applyFill="1" applyBorder="1" applyAlignment="1">
      <alignment vertical="top"/>
    </xf>
    <xf numFmtId="0" fontId="20" fillId="2" borderId="62" xfId="2" applyFont="1" applyFill="1" applyBorder="1" applyAlignment="1">
      <alignment horizontal="center"/>
    </xf>
    <xf numFmtId="0" fontId="8" fillId="0" borderId="3" xfId="2" applyFont="1" applyBorder="1" applyAlignment="1" applyProtection="1">
      <alignment horizontal="center" vertical="center"/>
      <protection locked="0"/>
    </xf>
    <xf numFmtId="0" fontId="8" fillId="5" borderId="27" xfId="2" applyFont="1" applyFill="1" applyBorder="1" applyAlignment="1" applyProtection="1">
      <alignment horizontal="center" vertical="center"/>
      <protection locked="0"/>
    </xf>
    <xf numFmtId="0" fontId="8" fillId="2" borderId="27" xfId="2" applyFont="1" applyFill="1" applyBorder="1" applyAlignment="1" applyProtection="1">
      <alignment horizontal="center" vertical="center"/>
      <protection locked="0"/>
    </xf>
    <xf numFmtId="164" fontId="8" fillId="0" borderId="0" xfId="2" applyNumberFormat="1" applyFont="1" applyAlignment="1" applyProtection="1">
      <alignment horizontal="center" vertical="center"/>
      <protection locked="0"/>
    </xf>
    <xf numFmtId="165" fontId="10" fillId="6" borderId="19" xfId="1" applyNumberFormat="1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vertical="center"/>
      <protection locked="0"/>
    </xf>
    <xf numFmtId="166" fontId="8" fillId="0" borderId="3" xfId="6" applyNumberFormat="1" applyFont="1" applyFill="1" applyBorder="1" applyAlignment="1" applyProtection="1">
      <alignment horizontal="center" vertical="center"/>
      <protection locked="0"/>
    </xf>
    <xf numFmtId="167" fontId="8" fillId="0" borderId="19" xfId="2" applyNumberFormat="1" applyFont="1" applyBorder="1" applyAlignment="1">
      <alignment horizontal="center" vertical="center"/>
    </xf>
    <xf numFmtId="0" fontId="8" fillId="0" borderId="0" xfId="2" applyFont="1" applyAlignment="1" applyProtection="1">
      <alignment horizontal="center" vertical="center"/>
      <protection locked="0"/>
    </xf>
    <xf numFmtId="44" fontId="10" fillId="6" borderId="19" xfId="1" applyFont="1" applyFill="1" applyBorder="1" applyAlignment="1" applyProtection="1">
      <alignment horizontal="center" vertical="center"/>
    </xf>
    <xf numFmtId="0" fontId="8" fillId="5" borderId="19" xfId="2" applyFont="1" applyFill="1" applyBorder="1" applyAlignment="1" applyProtection="1">
      <alignment horizontal="center" vertical="center"/>
      <protection locked="0"/>
    </xf>
    <xf numFmtId="167" fontId="8" fillId="0" borderId="0" xfId="2" applyNumberFormat="1" applyFont="1" applyAlignment="1">
      <alignment horizontal="center" vertical="center"/>
    </xf>
    <xf numFmtId="166" fontId="8" fillId="5" borderId="19" xfId="6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166" fontId="8" fillId="0" borderId="5" xfId="6" applyNumberFormat="1" applyFont="1" applyFill="1" applyBorder="1" applyAlignment="1" applyProtection="1">
      <alignment horizontal="center" vertical="center"/>
      <protection locked="0"/>
    </xf>
    <xf numFmtId="0" fontId="8" fillId="0" borderId="6" xfId="2" applyFont="1" applyBorder="1" applyAlignment="1" applyProtection="1">
      <alignment horizontal="center" vertical="center"/>
      <protection locked="0"/>
    </xf>
    <xf numFmtId="44" fontId="6" fillId="0" borderId="0" xfId="0" applyNumberFormat="1" applyFont="1" applyAlignment="1" applyProtection="1">
      <alignment vertical="center"/>
      <protection locked="0"/>
    </xf>
    <xf numFmtId="0" fontId="19" fillId="5" borderId="34" xfId="0" applyFont="1" applyFill="1" applyBorder="1" applyAlignment="1">
      <alignment horizontal="left"/>
    </xf>
    <xf numFmtId="0" fontId="19" fillId="5" borderId="35" xfId="0" applyFont="1" applyFill="1" applyBorder="1" applyAlignment="1">
      <alignment horizontal="left"/>
    </xf>
    <xf numFmtId="0" fontId="19" fillId="5" borderId="59" xfId="0" applyFont="1" applyFill="1" applyBorder="1" applyAlignment="1">
      <alignment horizontal="left"/>
    </xf>
    <xf numFmtId="0" fontId="19" fillId="6" borderId="73" xfId="0" applyFont="1" applyFill="1" applyBorder="1" applyAlignment="1">
      <alignment horizontal="center"/>
    </xf>
    <xf numFmtId="0" fontId="19" fillId="6" borderId="74" xfId="0" applyFont="1" applyFill="1" applyBorder="1" applyAlignment="1">
      <alignment horizontal="center"/>
    </xf>
    <xf numFmtId="0" fontId="19" fillId="6" borderId="75" xfId="0" applyFont="1" applyFill="1" applyBorder="1" applyAlignment="1">
      <alignment horizontal="center"/>
    </xf>
    <xf numFmtId="0" fontId="19" fillId="0" borderId="65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9" fontId="19" fillId="0" borderId="19" xfId="0" applyNumberFormat="1" applyFont="1" applyBorder="1" applyAlignment="1">
      <alignment horizontal="center"/>
    </xf>
    <xf numFmtId="9" fontId="19" fillId="0" borderId="19" xfId="0" applyNumberFormat="1" applyFont="1" applyBorder="1" applyAlignment="1">
      <alignment horizontal="left"/>
    </xf>
    <xf numFmtId="165" fontId="19" fillId="0" borderId="66" xfId="0" applyNumberFormat="1" applyFont="1" applyBorder="1"/>
    <xf numFmtId="0" fontId="19" fillId="0" borderId="67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9" fontId="19" fillId="0" borderId="26" xfId="0" applyNumberFormat="1" applyFont="1" applyBorder="1" applyAlignment="1">
      <alignment horizontal="left"/>
    </xf>
    <xf numFmtId="165" fontId="19" fillId="0" borderId="68" xfId="0" applyNumberFormat="1" applyFont="1" applyBorder="1"/>
    <xf numFmtId="0" fontId="19" fillId="0" borderId="69" xfId="0" applyFont="1" applyBorder="1" applyAlignment="1">
      <alignment horizontal="center"/>
    </xf>
    <xf numFmtId="0" fontId="19" fillId="0" borderId="23" xfId="0" applyFont="1" applyBorder="1" applyAlignment="1">
      <alignment horizontal="center"/>
    </xf>
    <xf numFmtId="9" fontId="19" fillId="0" borderId="23" xfId="0" applyNumberFormat="1" applyFont="1" applyBorder="1" applyAlignment="1">
      <alignment horizontal="left"/>
    </xf>
    <xf numFmtId="165" fontId="19" fillId="0" borderId="70" xfId="0" applyNumberFormat="1" applyFont="1" applyBorder="1"/>
    <xf numFmtId="0" fontId="19" fillId="0" borderId="71" xfId="0" applyFont="1" applyBorder="1" applyAlignment="1">
      <alignment horizontal="center"/>
    </xf>
    <xf numFmtId="0" fontId="19" fillId="0" borderId="43" xfId="0" applyFont="1" applyBorder="1" applyAlignment="1">
      <alignment horizontal="center"/>
    </xf>
    <xf numFmtId="165" fontId="19" fillId="0" borderId="72" xfId="0" applyNumberFormat="1" applyFont="1" applyBorder="1"/>
    <xf numFmtId="0" fontId="38" fillId="0" borderId="0" xfId="2" applyFont="1" applyAlignment="1" applyProtection="1">
      <alignment horizontal="right"/>
      <protection locked="0"/>
    </xf>
    <xf numFmtId="0" fontId="38" fillId="0" borderId="43" xfId="2" applyFont="1" applyBorder="1" applyAlignment="1" applyProtection="1">
      <alignment horizontal="right"/>
      <protection locked="0"/>
    </xf>
    <xf numFmtId="0" fontId="20" fillId="0" borderId="44" xfId="0" applyFont="1" applyBorder="1" applyAlignment="1">
      <alignment horizontal="right"/>
    </xf>
    <xf numFmtId="0" fontId="20" fillId="0" borderId="0" xfId="0" applyFont="1" applyAlignment="1">
      <alignment horizontal="right"/>
    </xf>
    <xf numFmtId="0" fontId="42" fillId="0" borderId="0" xfId="9" applyFont="1"/>
    <xf numFmtId="0" fontId="41" fillId="0" borderId="0" xfId="9"/>
    <xf numFmtId="0" fontId="43" fillId="0" borderId="0" xfId="9" applyFont="1"/>
    <xf numFmtId="14" fontId="41" fillId="0" borderId="0" xfId="9" applyNumberFormat="1"/>
    <xf numFmtId="43" fontId="0" fillId="0" borderId="0" xfId="10" applyFont="1"/>
    <xf numFmtId="0" fontId="41" fillId="0" borderId="6" xfId="9" applyBorder="1" applyAlignment="1">
      <alignment horizontal="centerContinuous"/>
    </xf>
    <xf numFmtId="0" fontId="41" fillId="0" borderId="0" xfId="9" applyAlignment="1">
      <alignment horizontal="centerContinuous"/>
    </xf>
    <xf numFmtId="0" fontId="44" fillId="0" borderId="0" xfId="9" applyFont="1" applyAlignment="1">
      <alignment wrapText="1"/>
    </xf>
    <xf numFmtId="0" fontId="44" fillId="0" borderId="0" xfId="9" applyFont="1" applyAlignment="1">
      <alignment horizontal="center" wrapText="1"/>
    </xf>
    <xf numFmtId="0" fontId="10" fillId="0" borderId="0" xfId="9" applyFont="1" applyAlignment="1">
      <alignment horizontal="center" wrapText="1"/>
    </xf>
    <xf numFmtId="0" fontId="41" fillId="0" borderId="0" xfId="9" applyAlignment="1">
      <alignment wrapText="1"/>
    </xf>
    <xf numFmtId="10" fontId="45" fillId="9" borderId="0" xfId="9" applyNumberFormat="1" applyFont="1" applyFill="1" applyAlignment="1">
      <alignment wrapText="1"/>
    </xf>
    <xf numFmtId="0" fontId="8" fillId="0" borderId="0" xfId="9" applyFont="1"/>
    <xf numFmtId="1" fontId="46" fillId="10" borderId="0" xfId="9" applyNumberFormat="1" applyFont="1" applyFill="1" applyAlignment="1">
      <alignment horizontal="center"/>
    </xf>
    <xf numFmtId="10" fontId="47" fillId="10" borderId="0" xfId="9" applyNumberFormat="1" applyFont="1" applyFill="1"/>
    <xf numFmtId="0" fontId="10" fillId="0" borderId="0" xfId="9" applyFont="1"/>
    <xf numFmtId="0" fontId="48" fillId="10" borderId="0" xfId="9" applyFont="1" applyFill="1"/>
    <xf numFmtId="0" fontId="48" fillId="10" borderId="0" xfId="11" applyNumberFormat="1" applyFont="1" applyFill="1" applyAlignment="1">
      <alignment horizontal="center"/>
    </xf>
    <xf numFmtId="5" fontId="48" fillId="10" borderId="0" xfId="9" applyNumberFormat="1" applyFont="1" applyFill="1" applyAlignment="1">
      <alignment horizontal="center"/>
    </xf>
    <xf numFmtId="10" fontId="49" fillId="10" borderId="0" xfId="9" applyNumberFormat="1" applyFont="1" applyFill="1"/>
    <xf numFmtId="0" fontId="8" fillId="0" borderId="34" xfId="9" applyFont="1" applyBorder="1"/>
    <xf numFmtId="0" fontId="41" fillId="0" borderId="41" xfId="9" applyBorder="1"/>
    <xf numFmtId="0" fontId="41" fillId="0" borderId="35" xfId="9" applyBorder="1"/>
    <xf numFmtId="0" fontId="8" fillId="10" borderId="0" xfId="9" applyFont="1" applyFill="1"/>
    <xf numFmtId="1" fontId="8" fillId="10" borderId="0" xfId="9" applyNumberFormat="1" applyFont="1" applyFill="1" applyAlignment="1">
      <alignment horizontal="center"/>
    </xf>
    <xf numFmtId="0" fontId="10" fillId="10" borderId="0" xfId="9" applyFont="1" applyFill="1"/>
    <xf numFmtId="0" fontId="45" fillId="0" borderId="44" xfId="9" applyFont="1" applyBorder="1"/>
    <xf numFmtId="0" fontId="45" fillId="0" borderId="0" xfId="9" applyFont="1"/>
    <xf numFmtId="0" fontId="41" fillId="0" borderId="49" xfId="9" applyBorder="1"/>
    <xf numFmtId="2" fontId="45" fillId="0" borderId="0" xfId="9" applyNumberFormat="1" applyFont="1" applyAlignment="1">
      <alignment horizontal="center"/>
    </xf>
    <xf numFmtId="2" fontId="8" fillId="10" borderId="0" xfId="9" applyNumberFormat="1" applyFont="1" applyFill="1" applyAlignment="1">
      <alignment horizontal="center"/>
    </xf>
    <xf numFmtId="2" fontId="46" fillId="10" borderId="0" xfId="9" applyNumberFormat="1" applyFont="1" applyFill="1" applyAlignment="1">
      <alignment horizontal="center"/>
    </xf>
    <xf numFmtId="0" fontId="8" fillId="10" borderId="44" xfId="9" applyFont="1" applyFill="1" applyBorder="1"/>
    <xf numFmtId="0" fontId="41" fillId="10" borderId="0" xfId="9" applyFill="1"/>
    <xf numFmtId="0" fontId="8" fillId="0" borderId="44" xfId="9" applyFont="1" applyBorder="1"/>
    <xf numFmtId="0" fontId="41" fillId="0" borderId="0" xfId="9" quotePrefix="1"/>
    <xf numFmtId="0" fontId="8" fillId="0" borderId="36" xfId="9" applyFont="1" applyBorder="1"/>
    <xf numFmtId="0" fontId="41" fillId="0" borderId="43" xfId="9" applyBorder="1"/>
    <xf numFmtId="0" fontId="41" fillId="0" borderId="37" xfId="9" applyBorder="1"/>
    <xf numFmtId="0" fontId="41" fillId="11" borderId="0" xfId="9" applyFill="1"/>
    <xf numFmtId="165" fontId="0" fillId="0" borderId="0" xfId="11" applyNumberFormat="1" applyFont="1" applyFill="1"/>
    <xf numFmtId="165" fontId="10" fillId="0" borderId="0" xfId="11" applyNumberFormat="1" applyFont="1" applyFill="1"/>
    <xf numFmtId="165" fontId="44" fillId="10" borderId="0" xfId="11" applyNumberFormat="1" applyFont="1" applyFill="1" applyAlignment="1">
      <alignment horizontal="center"/>
    </xf>
    <xf numFmtId="165" fontId="0" fillId="0" borderId="0" xfId="11" applyNumberFormat="1" applyFont="1"/>
    <xf numFmtId="165" fontId="8" fillId="10" borderId="0" xfId="11" applyNumberFormat="1" applyFont="1" applyFill="1"/>
    <xf numFmtId="165" fontId="0" fillId="10" borderId="0" xfId="11" applyNumberFormat="1" applyFont="1" applyFill="1"/>
    <xf numFmtId="0" fontId="41" fillId="10" borderId="0" xfId="9" applyFill="1" applyAlignment="1">
      <alignment horizontal="right"/>
    </xf>
    <xf numFmtId="165" fontId="0" fillId="10" borderId="13" xfId="11" applyNumberFormat="1" applyFont="1" applyFill="1" applyBorder="1"/>
    <xf numFmtId="0" fontId="16" fillId="0" borderId="0" xfId="9" applyFont="1" applyAlignment="1">
      <alignment vertical="top"/>
    </xf>
    <xf numFmtId="0" fontId="41" fillId="0" borderId="34" xfId="9" applyBorder="1"/>
    <xf numFmtId="165" fontId="0" fillId="10" borderId="6" xfId="11" applyNumberFormat="1" applyFont="1" applyFill="1" applyBorder="1" applyAlignment="1">
      <alignment horizontal="centerContinuous"/>
    </xf>
    <xf numFmtId="165" fontId="0" fillId="0" borderId="0" xfId="11" applyNumberFormat="1" applyFont="1" applyBorder="1" applyAlignment="1">
      <alignment horizontal="centerContinuous"/>
    </xf>
    <xf numFmtId="0" fontId="41" fillId="0" borderId="44" xfId="9" applyBorder="1"/>
    <xf numFmtId="165" fontId="44" fillId="0" borderId="0" xfId="11" applyNumberFormat="1" applyFont="1" applyAlignment="1">
      <alignment horizontal="centerContinuous"/>
    </xf>
    <xf numFmtId="165" fontId="0" fillId="0" borderId="0" xfId="11" applyNumberFormat="1" applyFont="1" applyAlignment="1">
      <alignment horizontal="centerContinuous"/>
    </xf>
    <xf numFmtId="165" fontId="43" fillId="0" borderId="0" xfId="11" applyNumberFormat="1" applyFont="1" applyFill="1" applyAlignment="1">
      <alignment horizontal="centerContinuous"/>
    </xf>
    <xf numFmtId="165" fontId="0" fillId="0" borderId="0" xfId="11" applyNumberFormat="1" applyFont="1" applyFill="1" applyAlignment="1">
      <alignment horizontal="centerContinuous"/>
    </xf>
    <xf numFmtId="0" fontId="8" fillId="0" borderId="0" xfId="9" quotePrefix="1" applyFont="1"/>
    <xf numFmtId="165" fontId="45" fillId="0" borderId="0" xfId="11" applyNumberFormat="1" applyFont="1" applyFill="1"/>
    <xf numFmtId="165" fontId="8" fillId="0" borderId="0" xfId="11" quotePrefix="1" applyNumberFormat="1" applyFont="1" applyFill="1"/>
    <xf numFmtId="165" fontId="8" fillId="0" borderId="0" xfId="11" applyNumberFormat="1" applyFont="1" applyFill="1"/>
    <xf numFmtId="165" fontId="8" fillId="0" borderId="0" xfId="11" quotePrefix="1" applyNumberFormat="1" applyFont="1"/>
    <xf numFmtId="0" fontId="41" fillId="0" borderId="36" xfId="9" applyBorder="1"/>
    <xf numFmtId="165" fontId="8" fillId="0" borderId="0" xfId="11" applyNumberFormat="1" applyFont="1" applyFill="1" applyAlignment="1">
      <alignment horizontal="centerContinuous"/>
    </xf>
    <xf numFmtId="165" fontId="8" fillId="0" borderId="0" xfId="11" applyNumberFormat="1" applyFont="1" applyAlignment="1">
      <alignment horizontal="centerContinuous"/>
    </xf>
    <xf numFmtId="165" fontId="44" fillId="0" borderId="0" xfId="11" applyNumberFormat="1" applyFont="1" applyFill="1" applyAlignment="1">
      <alignment horizontal="center"/>
    </xf>
    <xf numFmtId="165" fontId="10" fillId="0" borderId="0" xfId="11" quotePrefix="1" applyNumberFormat="1" applyFont="1"/>
    <xf numFmtId="165" fontId="44" fillId="0" borderId="0" xfId="11" applyNumberFormat="1" applyFont="1" applyAlignment="1">
      <alignment horizontal="center"/>
    </xf>
    <xf numFmtId="165" fontId="43" fillId="0" borderId="0" xfId="11" applyNumberFormat="1" applyFont="1" applyAlignment="1">
      <alignment horizontal="centerContinuous"/>
    </xf>
    <xf numFmtId="165" fontId="0" fillId="0" borderId="0" xfId="11" quotePrefix="1" applyNumberFormat="1" applyFont="1"/>
    <xf numFmtId="165" fontId="10" fillId="0" borderId="0" xfId="11" applyNumberFormat="1" applyFont="1"/>
    <xf numFmtId="165" fontId="0" fillId="11" borderId="0" xfId="11" applyNumberFormat="1" applyFont="1" applyFill="1"/>
    <xf numFmtId="165" fontId="10" fillId="11" borderId="0" xfId="11" applyNumberFormat="1" applyFont="1" applyFill="1"/>
    <xf numFmtId="0" fontId="11" fillId="0" borderId="0" xfId="9" applyFont="1" applyAlignment="1">
      <alignment vertical="top"/>
    </xf>
    <xf numFmtId="165" fontId="0" fillId="0" borderId="0" xfId="11" applyNumberFormat="1" applyFont="1" applyFill="1" applyBorder="1"/>
    <xf numFmtId="165" fontId="44" fillId="0" borderId="0" xfId="11" applyNumberFormat="1" applyFont="1" applyFill="1" applyAlignment="1">
      <alignment horizontal="centerContinuous"/>
    </xf>
    <xf numFmtId="165" fontId="45" fillId="0" borderId="0" xfId="11" applyNumberFormat="1" applyFont="1" applyFill="1" applyBorder="1"/>
    <xf numFmtId="165" fontId="8" fillId="0" borderId="0" xfId="11" quotePrefix="1" applyNumberFormat="1" applyFont="1" applyFill="1" applyBorder="1"/>
    <xf numFmtId="165" fontId="8" fillId="0" borderId="0" xfId="11" quotePrefix="1" applyNumberFormat="1" applyFont="1" applyBorder="1"/>
    <xf numFmtId="165" fontId="8" fillId="0" borderId="0" xfId="11" applyNumberFormat="1" applyFont="1" applyFill="1" applyBorder="1"/>
    <xf numFmtId="165" fontId="8" fillId="0" borderId="0" xfId="11" applyNumberFormat="1" applyFont="1" applyBorder="1"/>
    <xf numFmtId="165" fontId="41" fillId="0" borderId="0" xfId="9" applyNumberFormat="1"/>
    <xf numFmtId="165" fontId="8" fillId="0" borderId="0" xfId="9" applyNumberFormat="1" applyFont="1"/>
    <xf numFmtId="165" fontId="8" fillId="0" borderId="0" xfId="9" quotePrefix="1" applyNumberFormat="1" applyFont="1"/>
    <xf numFmtId="44" fontId="50" fillId="0" borderId="0" xfId="11" applyFont="1" applyFill="1" applyBorder="1" applyAlignment="1">
      <alignment horizontal="center"/>
    </xf>
    <xf numFmtId="10" fontId="50" fillId="0" borderId="0" xfId="9" applyNumberFormat="1" applyFont="1" applyAlignment="1">
      <alignment horizontal="center"/>
    </xf>
    <xf numFmtId="0" fontId="50" fillId="0" borderId="0" xfId="9" applyFont="1" applyAlignment="1">
      <alignment horizontal="center"/>
    </xf>
    <xf numFmtId="44" fontId="50" fillId="0" borderId="0" xfId="11" applyFont="1" applyBorder="1" applyAlignment="1">
      <alignment horizontal="center"/>
    </xf>
    <xf numFmtId="165" fontId="45" fillId="0" borderId="0" xfId="9" applyNumberFormat="1" applyFont="1"/>
    <xf numFmtId="41" fontId="8" fillId="0" borderId="0" xfId="9" applyNumberFormat="1" applyFont="1"/>
    <xf numFmtId="168" fontId="8" fillId="0" borderId="0" xfId="9" applyNumberFormat="1" applyFont="1"/>
    <xf numFmtId="166" fontId="8" fillId="0" borderId="0" xfId="9" applyNumberFormat="1" applyFont="1"/>
    <xf numFmtId="166" fontId="10" fillId="0" borderId="0" xfId="9" applyNumberFormat="1" applyFont="1"/>
    <xf numFmtId="49" fontId="8" fillId="0" borderId="0" xfId="9" quotePrefix="1" applyNumberFormat="1" applyFont="1"/>
    <xf numFmtId="41" fontId="8" fillId="0" borderId="0" xfId="9" applyNumberFormat="1" applyFont="1" applyAlignment="1">
      <alignment horizontal="center"/>
    </xf>
    <xf numFmtId="3" fontId="41" fillId="11" borderId="0" xfId="9" applyNumberFormat="1" applyFill="1"/>
    <xf numFmtId="37" fontId="41" fillId="11" borderId="0" xfId="9" applyNumberFormat="1" applyFill="1"/>
    <xf numFmtId="37" fontId="10" fillId="11" borderId="0" xfId="9" applyNumberFormat="1" applyFont="1" applyFill="1"/>
    <xf numFmtId="3" fontId="10" fillId="11" borderId="0" xfId="9" applyNumberFormat="1" applyFont="1" applyFill="1"/>
    <xf numFmtId="0" fontId="44" fillId="10" borderId="0" xfId="9" applyFont="1" applyFill="1" applyAlignment="1">
      <alignment horizontal="center"/>
    </xf>
    <xf numFmtId="42" fontId="8" fillId="10" borderId="0" xfId="9" applyNumberFormat="1" applyFont="1" applyFill="1"/>
    <xf numFmtId="10" fontId="41" fillId="10" borderId="0" xfId="9" applyNumberFormat="1" applyFill="1"/>
    <xf numFmtId="41" fontId="41" fillId="10" borderId="0" xfId="9" applyNumberFormat="1" applyFill="1"/>
    <xf numFmtId="42" fontId="41" fillId="10" borderId="13" xfId="9" applyNumberFormat="1" applyFill="1" applyBorder="1"/>
    <xf numFmtId="10" fontId="41" fillId="10" borderId="13" xfId="9" applyNumberFormat="1" applyFill="1" applyBorder="1"/>
    <xf numFmtId="0" fontId="41" fillId="10" borderId="6" xfId="9" applyFill="1" applyBorder="1" applyAlignment="1">
      <alignment horizontal="centerContinuous"/>
    </xf>
    <xf numFmtId="0" fontId="44" fillId="0" borderId="0" xfId="9" applyFont="1" applyAlignment="1">
      <alignment horizontal="centerContinuous"/>
    </xf>
    <xf numFmtId="0" fontId="43" fillId="0" borderId="0" xfId="9" applyFont="1" applyAlignment="1">
      <alignment horizontal="centerContinuous"/>
    </xf>
    <xf numFmtId="42" fontId="41" fillId="10" borderId="0" xfId="9" applyNumberFormat="1" applyFill="1"/>
    <xf numFmtId="42" fontId="45" fillId="0" borderId="0" xfId="9" applyNumberFormat="1" applyFont="1"/>
    <xf numFmtId="3" fontId="41" fillId="0" borderId="0" xfId="9" quotePrefix="1" applyNumberFormat="1"/>
    <xf numFmtId="3" fontId="8" fillId="0" borderId="0" xfId="9" quotePrefix="1" applyNumberFormat="1" applyFont="1"/>
    <xf numFmtId="42" fontId="41" fillId="0" borderId="0" xfId="9" applyNumberFormat="1"/>
    <xf numFmtId="42" fontId="10" fillId="0" borderId="0" xfId="9" applyNumberFormat="1" applyFont="1"/>
    <xf numFmtId="3" fontId="10" fillId="0" borderId="0" xfId="9" quotePrefix="1" applyNumberFormat="1" applyFont="1"/>
    <xf numFmtId="0" fontId="10" fillId="11" borderId="0" xfId="9" applyFont="1" applyFill="1"/>
    <xf numFmtId="41" fontId="8" fillId="10" borderId="0" xfId="9" applyNumberFormat="1" applyFont="1" applyFill="1"/>
    <xf numFmtId="0" fontId="8" fillId="10" borderId="6" xfId="9" applyFont="1" applyFill="1" applyBorder="1" applyAlignment="1">
      <alignment horizontal="centerContinuous"/>
    </xf>
    <xf numFmtId="44" fontId="0" fillId="10" borderId="0" xfId="11" applyFont="1" applyFill="1"/>
    <xf numFmtId="37" fontId="41" fillId="0" borderId="0" xfId="9" applyNumberFormat="1"/>
    <xf numFmtId="0" fontId="41" fillId="0" borderId="0" xfId="9" applyAlignment="1">
      <alignment horizontal="left" indent="1"/>
    </xf>
    <xf numFmtId="165" fontId="0" fillId="0" borderId="0" xfId="11" quotePrefix="1" applyNumberFormat="1" applyFont="1" applyFill="1"/>
    <xf numFmtId="44" fontId="41" fillId="0" borderId="0" xfId="9" applyNumberFormat="1"/>
    <xf numFmtId="165" fontId="45" fillId="0" borderId="0" xfId="10" applyNumberFormat="1" applyFont="1" applyFill="1"/>
    <xf numFmtId="165" fontId="0" fillId="0" borderId="0" xfId="10" quotePrefix="1" applyNumberFormat="1" applyFont="1" applyFill="1"/>
    <xf numFmtId="165" fontId="0" fillId="10" borderId="0" xfId="10" applyNumberFormat="1" applyFont="1" applyFill="1"/>
    <xf numFmtId="0" fontId="41" fillId="11" borderId="0" xfId="9" quotePrefix="1" applyFill="1"/>
    <xf numFmtId="0" fontId="41" fillId="0" borderId="0" xfId="9" applyAlignment="1">
      <alignment horizontal="right"/>
    </xf>
    <xf numFmtId="165" fontId="0" fillId="0" borderId="13" xfId="11" applyNumberFormat="1" applyFont="1" applyBorder="1"/>
    <xf numFmtId="165" fontId="0" fillId="0" borderId="6" xfId="11" applyNumberFormat="1" applyFont="1" applyFill="1" applyBorder="1" applyAlignment="1">
      <alignment horizontal="centerContinuous"/>
    </xf>
    <xf numFmtId="165" fontId="10" fillId="0" borderId="0" xfId="11" applyNumberFormat="1" applyFont="1" applyFill="1" applyAlignment="1">
      <alignment horizontal="left"/>
    </xf>
    <xf numFmtId="165" fontId="10" fillId="0" borderId="0" xfId="11" quotePrefix="1" applyNumberFormat="1" applyFont="1" applyFill="1"/>
    <xf numFmtId="165" fontId="0" fillId="0" borderId="0" xfId="11" applyNumberFormat="1" applyFont="1" applyFill="1" applyBorder="1" applyAlignment="1">
      <alignment horizontal="centerContinuous"/>
    </xf>
    <xf numFmtId="165" fontId="0" fillId="11" borderId="0" xfId="11" quotePrefix="1" applyNumberFormat="1" applyFont="1" applyFill="1"/>
    <xf numFmtId="165" fontId="10" fillId="11" borderId="0" xfId="11" quotePrefix="1" applyNumberFormat="1" applyFont="1" applyFill="1"/>
    <xf numFmtId="165" fontId="46" fillId="10" borderId="0" xfId="11" applyNumberFormat="1" applyFont="1" applyFill="1"/>
    <xf numFmtId="44" fontId="45" fillId="0" borderId="0" xfId="11" applyFont="1" applyFill="1"/>
    <xf numFmtId="44" fontId="8" fillId="10" borderId="0" xfId="11" applyFont="1" applyFill="1"/>
    <xf numFmtId="0" fontId="8" fillId="0" borderId="0" xfId="9" applyFont="1" applyAlignment="1">
      <alignment horizontal="left" indent="1"/>
    </xf>
    <xf numFmtId="0" fontId="8" fillId="0" borderId="0" xfId="9" quotePrefix="1" applyFont="1" applyAlignment="1">
      <alignment horizontal="left" indent="1"/>
    </xf>
    <xf numFmtId="0" fontId="51" fillId="0" borderId="0" xfId="0" applyFont="1"/>
    <xf numFmtId="0" fontId="51" fillId="0" borderId="0" xfId="2" applyFont="1" applyAlignment="1">
      <alignment vertical="center"/>
    </xf>
    <xf numFmtId="0" fontId="0" fillId="0" borderId="6" xfId="0" applyBorder="1"/>
    <xf numFmtId="16" fontId="0" fillId="0" borderId="0" xfId="0" quotePrefix="1" applyNumberFormat="1" applyAlignment="1">
      <alignment horizontal="left"/>
    </xf>
    <xf numFmtId="44" fontId="0" fillId="0" borderId="0" xfId="1" applyFont="1"/>
    <xf numFmtId="165" fontId="0" fillId="0" borderId="0" xfId="1" applyNumberFormat="1" applyFont="1"/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12" fontId="0" fillId="0" borderId="0" xfId="0" applyNumberFormat="1" applyAlignment="1">
      <alignment horizontal="left"/>
    </xf>
    <xf numFmtId="167" fontId="19" fillId="0" borderId="0" xfId="2" applyNumberFormat="1" applyFont="1" applyAlignment="1">
      <alignment horizontal="center" vertical="top"/>
    </xf>
    <xf numFmtId="167" fontId="19" fillId="0" borderId="16" xfId="2" applyNumberFormat="1" applyFont="1" applyBorder="1" applyAlignment="1">
      <alignment horizontal="center" vertical="top"/>
    </xf>
    <xf numFmtId="44" fontId="8" fillId="0" borderId="0" xfId="11" applyFont="1" applyFill="1"/>
    <xf numFmtId="44" fontId="8" fillId="0" borderId="0" xfId="11" applyFont="1" applyBorder="1"/>
    <xf numFmtId="44" fontId="8" fillId="0" borderId="0" xfId="11" applyFont="1" applyFill="1" applyBorder="1"/>
    <xf numFmtId="169" fontId="8" fillId="0" borderId="0" xfId="9" applyNumberFormat="1" applyFont="1"/>
    <xf numFmtId="167" fontId="19" fillId="6" borderId="27" xfId="2" applyNumberFormat="1" applyFont="1" applyFill="1" applyBorder="1" applyAlignment="1">
      <alignment vertical="top"/>
    </xf>
    <xf numFmtId="3" fontId="19" fillId="6" borderId="27" xfId="2" applyNumberFormat="1" applyFont="1" applyFill="1" applyBorder="1" applyAlignment="1">
      <alignment horizontal="center" vertical="top"/>
    </xf>
    <xf numFmtId="3" fontId="19" fillId="6" borderId="19" xfId="2" applyNumberFormat="1" applyFont="1" applyFill="1" applyBorder="1" applyAlignment="1">
      <alignment horizontal="center" vertical="top"/>
    </xf>
    <xf numFmtId="3" fontId="19" fillId="6" borderId="23" xfId="2" applyNumberFormat="1" applyFont="1" applyFill="1" applyBorder="1" applyAlignment="1">
      <alignment horizontal="center" vertical="top"/>
    </xf>
    <xf numFmtId="167" fontId="20" fillId="0" borderId="22" xfId="2" applyNumberFormat="1" applyFont="1" applyBorder="1" applyAlignment="1">
      <alignment vertical="center"/>
    </xf>
    <xf numFmtId="39" fontId="20" fillId="6" borderId="47" xfId="1" applyNumberFormat="1" applyFont="1" applyFill="1" applyBorder="1" applyProtection="1"/>
    <xf numFmtId="39" fontId="20" fillId="6" borderId="53" xfId="1" applyNumberFormat="1" applyFont="1" applyFill="1" applyBorder="1" applyAlignment="1" applyProtection="1">
      <alignment horizontal="right"/>
    </xf>
    <xf numFmtId="39" fontId="27" fillId="5" borderId="27" xfId="1" applyNumberFormat="1" applyFont="1" applyFill="1" applyBorder="1" applyProtection="1"/>
    <xf numFmtId="39" fontId="27" fillId="5" borderId="19" xfId="1" applyNumberFormat="1" applyFont="1" applyFill="1" applyBorder="1" applyProtection="1"/>
    <xf numFmtId="39" fontId="27" fillId="5" borderId="23" xfId="1" applyNumberFormat="1" applyFont="1" applyFill="1" applyBorder="1" applyProtection="1"/>
    <xf numFmtId="0" fontId="0" fillId="9" borderId="0" xfId="0" applyFill="1"/>
    <xf numFmtId="0" fontId="44" fillId="9" borderId="0" xfId="9" applyFont="1" applyFill="1" applyAlignment="1">
      <alignment horizontal="left"/>
    </xf>
    <xf numFmtId="0" fontId="41" fillId="9" borderId="0" xfId="9" applyFill="1"/>
    <xf numFmtId="0" fontId="19" fillId="0" borderId="3" xfId="0" applyFont="1" applyBorder="1" applyAlignment="1">
      <alignment horizontal="left" vertical="center"/>
    </xf>
    <xf numFmtId="0" fontId="19" fillId="0" borderId="0" xfId="2" applyFont="1" applyAlignment="1">
      <alignment horizontal="center" vertical="top"/>
    </xf>
    <xf numFmtId="0" fontId="20" fillId="6" borderId="36" xfId="0" applyFont="1" applyFill="1" applyBorder="1" applyAlignment="1">
      <alignment horizontal="left"/>
    </xf>
    <xf numFmtId="0" fontId="20" fillId="6" borderId="43" xfId="0" applyFont="1" applyFill="1" applyBorder="1" applyAlignment="1">
      <alignment horizontal="left"/>
    </xf>
    <xf numFmtId="0" fontId="18" fillId="5" borderId="0" xfId="0" applyFont="1" applyFill="1" applyAlignment="1">
      <alignment horizontal="left" vertical="center"/>
    </xf>
    <xf numFmtId="0" fontId="6" fillId="0" borderId="0" xfId="0" applyFont="1" applyAlignment="1" applyProtection="1">
      <alignment horizontal="center"/>
      <protection locked="0"/>
    </xf>
    <xf numFmtId="0" fontId="19" fillId="0" borderId="44" xfId="0" applyFont="1" applyBorder="1" applyAlignment="1">
      <alignment horizontal="right"/>
    </xf>
    <xf numFmtId="2" fontId="45" fillId="9" borderId="0" xfId="9" applyNumberFormat="1" applyFont="1" applyFill="1" applyAlignment="1">
      <alignment horizontal="center"/>
    </xf>
    <xf numFmtId="1" fontId="46" fillId="9" borderId="0" xfId="9" applyNumberFormat="1" applyFont="1" applyFill="1" applyAlignment="1">
      <alignment horizontal="center"/>
    </xf>
    <xf numFmtId="10" fontId="47" fillId="9" borderId="0" xfId="9" applyNumberFormat="1" applyFont="1" applyFill="1"/>
    <xf numFmtId="44" fontId="8" fillId="12" borderId="0" xfId="11" applyFont="1" applyFill="1" applyBorder="1"/>
    <xf numFmtId="0" fontId="41" fillId="12" borderId="0" xfId="9" quotePrefix="1" applyFill="1"/>
    <xf numFmtId="165" fontId="45" fillId="12" borderId="0" xfId="11" applyNumberFormat="1" applyFont="1" applyFill="1"/>
    <xf numFmtId="165" fontId="8" fillId="12" borderId="0" xfId="11" quotePrefix="1" applyNumberFormat="1" applyFont="1" applyFill="1"/>
    <xf numFmtId="165" fontId="0" fillId="12" borderId="0" xfId="11" applyNumberFormat="1" applyFont="1" applyFill="1"/>
    <xf numFmtId="44" fontId="8" fillId="12" borderId="0" xfId="11" applyFont="1" applyFill="1"/>
    <xf numFmtId="165" fontId="45" fillId="12" borderId="0" xfId="11" applyNumberFormat="1" applyFont="1" applyFill="1" applyBorder="1"/>
    <xf numFmtId="165" fontId="45" fillId="12" borderId="0" xfId="9" applyNumberFormat="1" applyFont="1" applyFill="1"/>
    <xf numFmtId="0" fontId="41" fillId="12" borderId="0" xfId="9" applyFill="1"/>
    <xf numFmtId="165" fontId="41" fillId="12" borderId="0" xfId="9" applyNumberFormat="1" applyFill="1"/>
    <xf numFmtId="44" fontId="8" fillId="6" borderId="0" xfId="11" applyFont="1" applyFill="1" applyBorder="1"/>
    <xf numFmtId="0" fontId="53" fillId="6" borderId="19" xfId="0" applyFont="1" applyFill="1" applyBorder="1" applyAlignment="1">
      <alignment horizontal="center" vertical="center" wrapText="1" readingOrder="1"/>
    </xf>
    <xf numFmtId="0" fontId="54" fillId="6" borderId="19" xfId="0" applyFont="1" applyFill="1" applyBorder="1" applyAlignment="1">
      <alignment horizontal="center"/>
    </xf>
    <xf numFmtId="0" fontId="55" fillId="6" borderId="19" xfId="0" applyFont="1" applyFill="1" applyBorder="1" applyAlignment="1">
      <alignment horizontal="center"/>
    </xf>
    <xf numFmtId="0" fontId="19" fillId="9" borderId="0" xfId="2" applyFont="1" applyFill="1" applyAlignment="1" applyProtection="1">
      <alignment vertical="top"/>
      <protection locked="0"/>
    </xf>
    <xf numFmtId="0" fontId="19" fillId="9" borderId="0" xfId="0" applyFont="1" applyFill="1" applyProtection="1">
      <protection locked="0"/>
    </xf>
    <xf numFmtId="0" fontId="55" fillId="9" borderId="0" xfId="0" applyFont="1" applyFill="1" applyAlignment="1">
      <alignment horizontal="center"/>
    </xf>
    <xf numFmtId="39" fontId="20" fillId="6" borderId="47" xfId="0" applyNumberFormat="1" applyFont="1" applyFill="1" applyBorder="1"/>
    <xf numFmtId="0" fontId="19" fillId="6" borderId="27" xfId="2" applyFont="1" applyFill="1" applyBorder="1" applyAlignment="1">
      <alignment horizontal="center" vertical="top"/>
    </xf>
    <xf numFmtId="0" fontId="31" fillId="6" borderId="19" xfId="2" applyFont="1" applyFill="1" applyBorder="1" applyAlignment="1">
      <alignment horizontal="center" vertical="top"/>
    </xf>
    <xf numFmtId="0" fontId="19" fillId="6" borderId="19" xfId="2" applyFont="1" applyFill="1" applyBorder="1" applyAlignment="1">
      <alignment horizontal="center" vertical="top"/>
    </xf>
    <xf numFmtId="0" fontId="19" fillId="0" borderId="4" xfId="2" applyFont="1" applyBorder="1" applyAlignment="1">
      <alignment vertical="top"/>
    </xf>
    <xf numFmtId="8" fontId="32" fillId="6" borderId="19" xfId="2" applyNumberFormat="1" applyFont="1" applyFill="1" applyBorder="1" applyAlignment="1">
      <alignment horizontal="center" vertical="top"/>
    </xf>
    <xf numFmtId="7" fontId="19" fillId="6" borderId="19" xfId="2" applyNumberFormat="1" applyFont="1" applyFill="1" applyBorder="1" applyAlignment="1">
      <alignment horizontal="center" vertical="top"/>
    </xf>
    <xf numFmtId="167" fontId="32" fillId="6" borderId="23" xfId="2" applyNumberFormat="1" applyFont="1" applyFill="1" applyBorder="1" applyAlignment="1">
      <alignment vertical="top"/>
    </xf>
    <xf numFmtId="167" fontId="19" fillId="6" borderId="19" xfId="2" applyNumberFormat="1" applyFont="1" applyFill="1" applyBorder="1" applyAlignment="1">
      <alignment vertical="top"/>
    </xf>
    <xf numFmtId="167" fontId="32" fillId="6" borderId="19" xfId="2" applyNumberFormat="1" applyFont="1" applyFill="1" applyBorder="1" applyAlignment="1">
      <alignment vertical="top"/>
    </xf>
    <xf numFmtId="167" fontId="32" fillId="6" borderId="26" xfId="2" applyNumberFormat="1" applyFont="1" applyFill="1" applyBorder="1" applyAlignment="1">
      <alignment vertical="top"/>
    </xf>
    <xf numFmtId="164" fontId="19" fillId="0" borderId="4" xfId="2" applyNumberFormat="1" applyFont="1" applyBorder="1" applyAlignment="1">
      <alignment vertical="top"/>
    </xf>
    <xf numFmtId="164" fontId="19" fillId="6" borderId="19" xfId="2" applyNumberFormat="1" applyFont="1" applyFill="1" applyBorder="1" applyAlignment="1">
      <alignment vertical="top"/>
    </xf>
    <xf numFmtId="167" fontId="19" fillId="6" borderId="26" xfId="2" applyNumberFormat="1" applyFont="1" applyFill="1" applyBorder="1" applyAlignment="1">
      <alignment vertical="top"/>
    </xf>
    <xf numFmtId="0" fontId="19" fillId="0" borderId="3" xfId="2" applyFont="1" applyBorder="1" applyAlignment="1">
      <alignment horizontal="right" vertical="top"/>
    </xf>
    <xf numFmtId="0" fontId="19" fillId="0" borderId="31" xfId="2" applyFont="1" applyBorder="1" applyAlignment="1">
      <alignment horizontal="right" vertical="top"/>
    </xf>
    <xf numFmtId="164" fontId="19" fillId="0" borderId="0" xfId="2" applyNumberFormat="1" applyFont="1" applyAlignment="1">
      <alignment horizontal="center" vertical="top"/>
    </xf>
    <xf numFmtId="1" fontId="19" fillId="6" borderId="19" xfId="2" applyNumberFormat="1" applyFont="1" applyFill="1" applyBorder="1" applyAlignment="1">
      <alignment horizontal="center" vertical="top"/>
    </xf>
    <xf numFmtId="167" fontId="31" fillId="0" borderId="0" xfId="2" applyNumberFormat="1" applyFont="1" applyAlignment="1">
      <alignment horizontal="center" vertical="top"/>
    </xf>
    <xf numFmtId="49" fontId="19" fillId="6" borderId="19" xfId="2" applyNumberFormat="1" applyFont="1" applyFill="1" applyBorder="1" applyAlignment="1">
      <alignment horizontal="center" vertical="top"/>
    </xf>
    <xf numFmtId="164" fontId="31" fillId="0" borderId="0" xfId="2" applyNumberFormat="1" applyFont="1" applyAlignment="1">
      <alignment horizontal="center" vertical="top"/>
    </xf>
    <xf numFmtId="167" fontId="19" fillId="0" borderId="0" xfId="2" applyNumberFormat="1" applyFont="1" applyAlignment="1">
      <alignment horizontal="center" vertical="top" wrapText="1"/>
    </xf>
    <xf numFmtId="2" fontId="19" fillId="0" borderId="0" xfId="2" applyNumberFormat="1" applyFont="1" applyAlignment="1">
      <alignment horizontal="center" vertical="top"/>
    </xf>
    <xf numFmtId="0" fontId="19" fillId="0" borderId="46" xfId="2" applyFont="1" applyBorder="1" applyAlignment="1">
      <alignment horizontal="right" vertical="top"/>
    </xf>
    <xf numFmtId="0" fontId="19" fillId="0" borderId="25" xfId="2" applyFont="1" applyBorder="1" applyAlignment="1">
      <alignment horizontal="center" vertical="top"/>
    </xf>
    <xf numFmtId="0" fontId="19" fillId="6" borderId="23" xfId="2" applyFont="1" applyFill="1" applyBorder="1" applyAlignment="1">
      <alignment horizontal="center" vertical="top"/>
    </xf>
    <xf numFmtId="0" fontId="19" fillId="0" borderId="60" xfId="2" applyFont="1" applyBorder="1" applyAlignment="1">
      <alignment horizontal="left" vertical="top"/>
    </xf>
    <xf numFmtId="167" fontId="19" fillId="0" borderId="0" xfId="2" applyNumberFormat="1" applyFont="1" applyAlignment="1">
      <alignment vertical="top"/>
    </xf>
    <xf numFmtId="167" fontId="19" fillId="0" borderId="31" xfId="2" applyNumberFormat="1" applyFont="1" applyBorder="1" applyAlignment="1">
      <alignment vertical="top"/>
    </xf>
    <xf numFmtId="0" fontId="19" fillId="0" borderId="28" xfId="2" applyFont="1" applyBorder="1" applyAlignment="1">
      <alignment horizontal="center" vertical="top"/>
    </xf>
    <xf numFmtId="0" fontId="19" fillId="0" borderId="44" xfId="0" applyFont="1" applyBorder="1" applyAlignment="1" applyProtection="1">
      <alignment horizontal="right"/>
      <protection locked="0"/>
    </xf>
    <xf numFmtId="0" fontId="19" fillId="0" borderId="36" xfId="0" applyFont="1" applyBorder="1" applyAlignment="1" applyProtection="1">
      <alignment horizontal="right"/>
      <protection locked="0"/>
    </xf>
    <xf numFmtId="49" fontId="28" fillId="6" borderId="36" xfId="0" applyNumberFormat="1" applyFont="1" applyFill="1" applyBorder="1" applyProtection="1">
      <protection locked="0"/>
    </xf>
    <xf numFmtId="165" fontId="27" fillId="2" borderId="43" xfId="1" applyNumberFormat="1" applyFont="1" applyFill="1" applyBorder="1" applyProtection="1">
      <protection locked="0"/>
    </xf>
    <xf numFmtId="165" fontId="27" fillId="2" borderId="37" xfId="1" applyNumberFormat="1" applyFont="1" applyFill="1" applyBorder="1" applyProtection="1">
      <protection locked="0"/>
    </xf>
    <xf numFmtId="0" fontId="20" fillId="2" borderId="54" xfId="0" applyFont="1" applyFill="1" applyBorder="1" applyAlignment="1" applyProtection="1">
      <alignment horizontal="left"/>
      <protection locked="0"/>
    </xf>
    <xf numFmtId="0" fontId="19" fillId="2" borderId="50" xfId="0" applyFont="1" applyFill="1" applyBorder="1" applyProtection="1">
      <protection locked="0"/>
    </xf>
    <xf numFmtId="0" fontId="19" fillId="2" borderId="50" xfId="0" applyFont="1" applyFill="1" applyBorder="1" applyAlignment="1" applyProtection="1">
      <alignment horizontal="right"/>
      <protection locked="0"/>
    </xf>
    <xf numFmtId="0" fontId="20" fillId="2" borderId="12" xfId="0" applyFont="1" applyFill="1" applyBorder="1" applyProtection="1">
      <protection locked="0"/>
    </xf>
    <xf numFmtId="0" fontId="19" fillId="2" borderId="9" xfId="0" applyFont="1" applyFill="1" applyBorder="1" applyProtection="1">
      <protection locked="0"/>
    </xf>
    <xf numFmtId="0" fontId="19" fillId="2" borderId="9" xfId="0" applyFont="1" applyFill="1" applyBorder="1" applyAlignment="1" applyProtection="1">
      <alignment horizontal="right"/>
      <protection locked="0"/>
    </xf>
    <xf numFmtId="39" fontId="20" fillId="6" borderId="47" xfId="1" applyNumberFormat="1" applyFont="1" applyFill="1" applyBorder="1" applyProtection="1">
      <protection locked="0"/>
    </xf>
    <xf numFmtId="0" fontId="20" fillId="2" borderId="12" xfId="0" applyFont="1" applyFill="1" applyBorder="1" applyAlignment="1" applyProtection="1">
      <alignment horizontal="left"/>
      <protection locked="0"/>
    </xf>
    <xf numFmtId="0" fontId="19" fillId="2" borderId="9" xfId="0" applyFont="1" applyFill="1" applyBorder="1" applyAlignment="1" applyProtection="1">
      <alignment horizontal="left"/>
      <protection locked="0"/>
    </xf>
    <xf numFmtId="0" fontId="27" fillId="5" borderId="3" xfId="0" applyFont="1" applyFill="1" applyBorder="1" applyAlignment="1" applyProtection="1">
      <alignment horizontal="left" indent="2"/>
      <protection locked="0"/>
    </xf>
    <xf numFmtId="165" fontId="27" fillId="5" borderId="0" xfId="1" applyNumberFormat="1" applyFont="1" applyFill="1" applyBorder="1" applyProtection="1">
      <protection locked="0"/>
    </xf>
    <xf numFmtId="165" fontId="27" fillId="5" borderId="4" xfId="1" applyNumberFormat="1" applyFont="1" applyFill="1" applyBorder="1" applyProtection="1">
      <protection locked="0"/>
    </xf>
    <xf numFmtId="0" fontId="27" fillId="5" borderId="3" xfId="0" applyFont="1" applyFill="1" applyBorder="1" applyAlignment="1" applyProtection="1">
      <alignment horizontal="left" indent="4"/>
      <protection locked="0"/>
    </xf>
    <xf numFmtId="165" fontId="27" fillId="5" borderId="16" xfId="1" applyNumberFormat="1" applyFont="1" applyFill="1" applyBorder="1" applyProtection="1">
      <protection locked="0"/>
    </xf>
    <xf numFmtId="0" fontId="19" fillId="2" borderId="16" xfId="0" applyFont="1" applyFill="1" applyBorder="1" applyProtection="1">
      <protection locked="0"/>
    </xf>
    <xf numFmtId="165" fontId="20" fillId="6" borderId="47" xfId="1" applyNumberFormat="1" applyFont="1" applyFill="1" applyBorder="1" applyProtection="1">
      <protection locked="0"/>
    </xf>
    <xf numFmtId="39" fontId="20" fillId="6" borderId="46" xfId="1" applyNumberFormat="1" applyFont="1" applyFill="1" applyBorder="1" applyProtection="1">
      <protection locked="0"/>
    </xf>
    <xf numFmtId="0" fontId="19" fillId="6" borderId="19" xfId="2" applyFont="1" applyFill="1" applyBorder="1" applyAlignment="1" applyProtection="1">
      <alignment horizontal="center" vertical="top"/>
      <protection locked="0"/>
    </xf>
    <xf numFmtId="167" fontId="19" fillId="0" borderId="0" xfId="2" applyNumberFormat="1" applyFont="1" applyAlignment="1" applyProtection="1">
      <alignment horizontal="center" vertical="top"/>
      <protection locked="0"/>
    </xf>
    <xf numFmtId="8" fontId="32" fillId="6" borderId="23" xfId="2" applyNumberFormat="1" applyFont="1" applyFill="1" applyBorder="1" applyAlignment="1" applyProtection="1">
      <alignment horizontal="center" vertical="top"/>
      <protection locked="0"/>
    </xf>
    <xf numFmtId="0" fontId="19" fillId="0" borderId="60" xfId="2" applyFont="1" applyBorder="1" applyAlignment="1" applyProtection="1">
      <alignment horizontal="right" vertical="top"/>
      <protection locked="0"/>
    </xf>
    <xf numFmtId="0" fontId="19" fillId="0" borderId="0" xfId="2" applyFont="1" applyAlignment="1" applyProtection="1">
      <alignment horizontal="center" vertical="top"/>
      <protection locked="0"/>
    </xf>
    <xf numFmtId="0" fontId="19" fillId="0" borderId="56" xfId="2" applyFont="1" applyBorder="1" applyAlignment="1" applyProtection="1">
      <alignment horizontal="right" vertical="top"/>
      <protection locked="0"/>
    </xf>
    <xf numFmtId="0" fontId="19" fillId="0" borderId="4" xfId="2" applyFont="1" applyBorder="1" applyAlignment="1" applyProtection="1">
      <alignment vertical="top"/>
      <protection locked="0"/>
    </xf>
    <xf numFmtId="167" fontId="32" fillId="6" borderId="23" xfId="2" applyNumberFormat="1" applyFont="1" applyFill="1" applyBorder="1" applyAlignment="1" applyProtection="1">
      <alignment vertical="top"/>
      <protection locked="0"/>
    </xf>
    <xf numFmtId="164" fontId="19" fillId="6" borderId="19" xfId="2" applyNumberFormat="1" applyFont="1" applyFill="1" applyBorder="1" applyAlignment="1" applyProtection="1">
      <alignment vertical="top"/>
      <protection locked="0"/>
    </xf>
    <xf numFmtId="0" fontId="19" fillId="0" borderId="34" xfId="0" applyFont="1" applyBorder="1" applyAlignment="1" applyProtection="1">
      <alignment horizontal="right"/>
      <protection locked="0"/>
    </xf>
    <xf numFmtId="0" fontId="20" fillId="2" borderId="0" xfId="2" applyFont="1" applyFill="1" applyAlignment="1" applyProtection="1">
      <alignment vertical="top"/>
      <protection locked="0"/>
    </xf>
    <xf numFmtId="0" fontId="20" fillId="2" borderId="49" xfId="2" applyFont="1" applyFill="1" applyBorder="1" applyAlignment="1" applyProtection="1">
      <alignment vertical="top"/>
      <protection locked="0"/>
    </xf>
    <xf numFmtId="0" fontId="20" fillId="0" borderId="0" xfId="2" applyFont="1" applyAlignment="1" applyProtection="1">
      <alignment vertical="center"/>
      <protection locked="0"/>
    </xf>
    <xf numFmtId="0" fontId="19" fillId="0" borderId="44" xfId="2" applyFont="1" applyBorder="1" applyAlignment="1" applyProtection="1">
      <alignment horizontal="right" vertical="center"/>
      <protection locked="0"/>
    </xf>
    <xf numFmtId="0" fontId="20" fillId="2" borderId="43" xfId="2" applyFont="1" applyFill="1" applyBorder="1" applyAlignment="1" applyProtection="1">
      <alignment vertical="top"/>
      <protection locked="0"/>
    </xf>
    <xf numFmtId="0" fontId="20" fillId="2" borderId="37" xfId="2" applyFont="1" applyFill="1" applyBorder="1" applyAlignment="1" applyProtection="1">
      <alignment vertical="top"/>
      <protection locked="0"/>
    </xf>
    <xf numFmtId="0" fontId="20" fillId="0" borderId="36" xfId="2" applyFont="1" applyBorder="1" applyAlignment="1" applyProtection="1">
      <alignment horizontal="right" vertical="center"/>
      <protection locked="0"/>
    </xf>
    <xf numFmtId="0" fontId="20" fillId="0" borderId="43" xfId="2" applyFont="1" applyBorder="1" applyAlignment="1" applyProtection="1">
      <alignment horizontal="center" vertical="center"/>
      <protection locked="0"/>
    </xf>
    <xf numFmtId="0" fontId="19" fillId="0" borderId="50" xfId="2" applyFont="1" applyBorder="1" applyAlignment="1" applyProtection="1">
      <alignment horizontal="right" vertical="center"/>
      <protection locked="0"/>
    </xf>
    <xf numFmtId="164" fontId="22" fillId="0" borderId="50" xfId="2" applyNumberFormat="1" applyFont="1" applyBorder="1" applyAlignment="1" applyProtection="1">
      <alignment horizontal="center" vertical="center"/>
      <protection locked="0"/>
    </xf>
    <xf numFmtId="0" fontId="19" fillId="0" borderId="50" xfId="2" applyFont="1" applyBorder="1" applyAlignment="1" applyProtection="1">
      <alignment horizontal="center" vertical="center"/>
      <protection locked="0"/>
    </xf>
    <xf numFmtId="0" fontId="19" fillId="0" borderId="3" xfId="2" applyFont="1" applyBorder="1" applyAlignment="1" applyProtection="1">
      <alignment vertical="top"/>
      <protection locked="0"/>
    </xf>
    <xf numFmtId="164" fontId="19" fillId="0" borderId="0" xfId="2" applyNumberFormat="1" applyFont="1" applyAlignment="1" applyProtection="1">
      <alignment horizontal="center" vertical="top"/>
      <protection locked="0"/>
    </xf>
    <xf numFmtId="0" fontId="20" fillId="9" borderId="0" xfId="2" applyFont="1" applyFill="1" applyAlignment="1" applyProtection="1">
      <alignment vertical="top"/>
      <protection locked="0"/>
    </xf>
    <xf numFmtId="0" fontId="19" fillId="0" borderId="1" xfId="2" applyFont="1" applyBorder="1" applyAlignment="1" applyProtection="1">
      <alignment horizontal="center" vertical="top"/>
      <protection locked="0"/>
    </xf>
    <xf numFmtId="164" fontId="19" fillId="0" borderId="1" xfId="2" applyNumberFormat="1" applyFont="1" applyBorder="1" applyAlignment="1" applyProtection="1">
      <alignment horizontal="center" vertical="top"/>
      <protection locked="0"/>
    </xf>
    <xf numFmtId="0" fontId="19" fillId="0" borderId="10" xfId="2" applyFont="1" applyBorder="1" applyAlignment="1" applyProtection="1">
      <alignment horizontal="center" vertical="top"/>
      <protection locked="0"/>
    </xf>
    <xf numFmtId="0" fontId="20" fillId="0" borderId="16" xfId="2" applyFont="1" applyBorder="1" applyAlignment="1" applyProtection="1">
      <alignment vertical="top"/>
      <protection locked="0"/>
    </xf>
    <xf numFmtId="0" fontId="19" fillId="0" borderId="3" xfId="2" applyFont="1" applyBorder="1" applyAlignment="1" applyProtection="1">
      <alignment horizontal="right" vertical="top"/>
      <protection locked="0"/>
    </xf>
    <xf numFmtId="0" fontId="22" fillId="0" borderId="0" xfId="2" applyFont="1" applyAlignment="1" applyProtection="1">
      <alignment vertical="top"/>
      <protection locked="0"/>
    </xf>
    <xf numFmtId="0" fontId="20" fillId="6" borderId="23" xfId="2" applyFont="1" applyFill="1" applyBorder="1" applyAlignment="1" applyProtection="1">
      <alignment horizontal="center" vertical="center"/>
      <protection locked="0"/>
    </xf>
    <xf numFmtId="0" fontId="19" fillId="0" borderId="31" xfId="2" applyFont="1" applyBorder="1" applyAlignment="1" applyProtection="1">
      <alignment horizontal="right" vertical="top"/>
      <protection locked="0"/>
    </xf>
    <xf numFmtId="0" fontId="19" fillId="0" borderId="16" xfId="2" applyFont="1" applyBorder="1" applyAlignment="1" applyProtection="1">
      <alignment horizontal="center" vertical="top"/>
      <protection locked="0"/>
    </xf>
    <xf numFmtId="164" fontId="19" fillId="0" borderId="16" xfId="2" applyNumberFormat="1" applyFont="1" applyBorder="1" applyAlignment="1" applyProtection="1">
      <alignment horizontal="center" vertical="top"/>
      <protection locked="0"/>
    </xf>
    <xf numFmtId="0" fontId="19" fillId="0" borderId="12" xfId="2" applyFont="1" applyBorder="1" applyAlignment="1" applyProtection="1">
      <alignment vertical="top"/>
      <protection locked="0"/>
    </xf>
    <xf numFmtId="6" fontId="19" fillId="0" borderId="25" xfId="2" applyNumberFormat="1" applyFont="1" applyBorder="1" applyAlignment="1" applyProtection="1">
      <alignment vertical="top"/>
      <protection locked="0"/>
    </xf>
    <xf numFmtId="0" fontId="20" fillId="0" borderId="9" xfId="2" applyFont="1" applyBorder="1" applyAlignment="1" applyProtection="1">
      <alignment vertical="center"/>
      <protection locked="0"/>
    </xf>
    <xf numFmtId="0" fontId="26" fillId="0" borderId="3" xfId="2" applyFont="1" applyBorder="1" applyAlignment="1" applyProtection="1">
      <alignment horizontal="right" vertical="center"/>
      <protection locked="0"/>
    </xf>
    <xf numFmtId="0" fontId="26" fillId="0" borderId="0" xfId="2" applyFont="1" applyAlignment="1" applyProtection="1">
      <alignment horizontal="center" vertical="center"/>
      <protection locked="0"/>
    </xf>
    <xf numFmtId="0" fontId="19" fillId="0" borderId="4" xfId="2" applyFont="1" applyBorder="1" applyAlignment="1" applyProtection="1">
      <alignment vertical="center"/>
      <protection locked="0"/>
    </xf>
    <xf numFmtId="0" fontId="19" fillId="0" borderId="16" xfId="2" applyFont="1" applyBorder="1" applyAlignment="1" applyProtection="1">
      <alignment vertical="top"/>
      <protection locked="0"/>
    </xf>
    <xf numFmtId="0" fontId="22" fillId="5" borderId="27" xfId="2" applyFont="1" applyFill="1" applyBorder="1" applyAlignment="1" applyProtection="1">
      <alignment horizontal="center" vertical="top"/>
      <protection locked="0"/>
    </xf>
    <xf numFmtId="0" fontId="27" fillId="0" borderId="0" xfId="2" applyFont="1" applyAlignment="1" applyProtection="1">
      <alignment horizontal="right" vertical="center" wrapText="1"/>
      <protection locked="0"/>
    </xf>
    <xf numFmtId="0" fontId="26" fillId="0" borderId="3" xfId="2" applyFont="1" applyBorder="1" applyAlignment="1" applyProtection="1">
      <alignment vertical="top"/>
      <protection locked="0"/>
    </xf>
    <xf numFmtId="0" fontId="19" fillId="0" borderId="3" xfId="2" applyFont="1" applyBorder="1" applyAlignment="1" applyProtection="1">
      <alignment horizontal="left" vertical="top" wrapText="1"/>
      <protection locked="0"/>
    </xf>
    <xf numFmtId="0" fontId="27" fillId="0" borderId="3" xfId="2" applyFont="1" applyBorder="1" applyAlignment="1" applyProtection="1">
      <alignment vertical="top"/>
      <protection locked="0"/>
    </xf>
    <xf numFmtId="164" fontId="19" fillId="0" borderId="4" xfId="2" applyNumberFormat="1" applyFont="1" applyBorder="1" applyAlignment="1" applyProtection="1">
      <alignment vertical="top"/>
      <protection locked="0"/>
    </xf>
    <xf numFmtId="0" fontId="20" fillId="0" borderId="9" xfId="2" applyFont="1" applyBorder="1" applyAlignment="1" applyProtection="1">
      <alignment vertical="top"/>
      <protection locked="0"/>
    </xf>
    <xf numFmtId="0" fontId="19" fillId="0" borderId="3" xfId="2" applyFont="1" applyBorder="1" applyAlignment="1" applyProtection="1">
      <alignment horizontal="left"/>
      <protection locked="0"/>
    </xf>
    <xf numFmtId="0" fontId="22" fillId="5" borderId="60" xfId="2" applyFont="1" applyFill="1" applyBorder="1" applyAlignment="1" applyProtection="1">
      <alignment horizontal="center" vertical="center" wrapText="1"/>
      <protection locked="0"/>
    </xf>
    <xf numFmtId="0" fontId="22" fillId="5" borderId="56" xfId="2" applyFont="1" applyFill="1" applyBorder="1" applyAlignment="1" applyProtection="1">
      <alignment vertical="center" wrapText="1"/>
      <protection locked="0"/>
    </xf>
    <xf numFmtId="0" fontId="22" fillId="6" borderId="56" xfId="2" applyFont="1" applyFill="1" applyBorder="1" applyAlignment="1" applyProtection="1">
      <alignment vertical="top"/>
      <protection locked="0"/>
    </xf>
    <xf numFmtId="0" fontId="22" fillId="5" borderId="46" xfId="2" applyFont="1" applyFill="1" applyBorder="1" applyAlignment="1" applyProtection="1">
      <alignment vertical="center" wrapText="1"/>
      <protection locked="0"/>
    </xf>
    <xf numFmtId="0" fontId="27" fillId="0" borderId="0" xfId="2" applyFont="1" applyAlignment="1" applyProtection="1">
      <alignment horizontal="right" vertical="top"/>
      <protection locked="0"/>
    </xf>
    <xf numFmtId="164" fontId="31" fillId="0" borderId="0" xfId="2" applyNumberFormat="1" applyFont="1" applyAlignment="1" applyProtection="1">
      <alignment horizontal="center" vertical="top"/>
      <protection locked="0"/>
    </xf>
    <xf numFmtId="0" fontId="31" fillId="0" borderId="0" xfId="2" applyFont="1" applyAlignment="1" applyProtection="1">
      <alignment horizontal="center" vertical="top"/>
      <protection locked="0"/>
    </xf>
    <xf numFmtId="0" fontId="31" fillId="0" borderId="16" xfId="2" applyFont="1" applyBorder="1" applyAlignment="1" applyProtection="1">
      <alignment horizontal="center" vertical="top"/>
      <protection locked="0"/>
    </xf>
    <xf numFmtId="0" fontId="19" fillId="0" borderId="3" xfId="2" applyFont="1" applyBorder="1" applyAlignment="1" applyProtection="1">
      <alignment horizontal="left" vertical="top"/>
      <protection locked="0"/>
    </xf>
    <xf numFmtId="9" fontId="20" fillId="2" borderId="0" xfId="2" applyNumberFormat="1" applyFont="1" applyFill="1" applyAlignment="1" applyProtection="1">
      <alignment vertical="top"/>
      <protection locked="0"/>
    </xf>
    <xf numFmtId="0" fontId="19" fillId="0" borderId="3" xfId="2" applyFont="1" applyBorder="1" applyAlignment="1" applyProtection="1">
      <alignment horizontal="left" vertical="top" shrinkToFit="1"/>
      <protection locked="0"/>
    </xf>
    <xf numFmtId="0" fontId="26" fillId="0" borderId="3" xfId="2" applyFont="1" applyBorder="1" applyAlignment="1" applyProtection="1">
      <alignment horizontal="left" vertical="top" indent="2"/>
      <protection locked="0"/>
    </xf>
    <xf numFmtId="0" fontId="33" fillId="0" borderId="0" xfId="2" applyFont="1" applyAlignment="1" applyProtection="1">
      <alignment horizontal="center" vertical="top"/>
      <protection locked="0"/>
    </xf>
    <xf numFmtId="0" fontId="19" fillId="0" borderId="31" xfId="2" applyFont="1" applyBorder="1" applyAlignment="1" applyProtection="1">
      <alignment horizontal="left" vertical="top"/>
      <protection locked="0"/>
    </xf>
    <xf numFmtId="2" fontId="19" fillId="0" borderId="16" xfId="2" applyNumberFormat="1" applyFont="1" applyBorder="1" applyAlignment="1" applyProtection="1">
      <alignment horizontal="left" vertical="top"/>
      <protection locked="0"/>
    </xf>
    <xf numFmtId="0" fontId="28" fillId="0" borderId="3" xfId="2" applyFont="1" applyBorder="1" applyAlignment="1" applyProtection="1">
      <alignment horizontal="left" vertical="top"/>
      <protection locked="0"/>
    </xf>
    <xf numFmtId="2" fontId="19" fillId="0" borderId="0" xfId="2" applyNumberFormat="1" applyFont="1" applyAlignment="1" applyProtection="1">
      <alignment horizontal="left" vertical="top"/>
      <protection locked="0"/>
    </xf>
    <xf numFmtId="0" fontId="20" fillId="0" borderId="19" xfId="2" applyFont="1" applyBorder="1" applyAlignment="1" applyProtection="1">
      <alignment horizontal="center" vertical="top"/>
      <protection locked="0"/>
    </xf>
    <xf numFmtId="0" fontId="19" fillId="6" borderId="19" xfId="0" applyFont="1" applyFill="1" applyBorder="1" applyAlignment="1" applyProtection="1">
      <alignment horizontal="center" vertical="top"/>
      <protection locked="0"/>
    </xf>
    <xf numFmtId="0" fontId="20" fillId="0" borderId="14" xfId="0" applyFont="1" applyBorder="1" applyAlignment="1" applyProtection="1">
      <alignment horizontal="center" vertical="top"/>
      <protection locked="0"/>
    </xf>
    <xf numFmtId="0" fontId="20" fillId="6" borderId="47" xfId="2" applyFont="1" applyFill="1" applyBorder="1" applyAlignment="1" applyProtection="1">
      <alignment horizontal="center" vertical="top"/>
      <protection locked="0"/>
    </xf>
    <xf numFmtId="0" fontId="19" fillId="0" borderId="31" xfId="0" applyFont="1" applyBorder="1" applyAlignment="1" applyProtection="1">
      <alignment vertical="top"/>
      <protection locked="0"/>
    </xf>
    <xf numFmtId="0" fontId="20" fillId="0" borderId="23" xfId="2" applyFont="1" applyBorder="1" applyAlignment="1" applyProtection="1">
      <alignment horizontal="center" vertical="top"/>
      <protection locked="0"/>
    </xf>
    <xf numFmtId="2" fontId="31" fillId="6" borderId="23" xfId="2" applyNumberFormat="1" applyFont="1" applyFill="1" applyBorder="1" applyAlignment="1" applyProtection="1">
      <alignment horizontal="center" vertical="top"/>
      <protection locked="0"/>
    </xf>
    <xf numFmtId="0" fontId="19" fillId="0" borderId="25" xfId="2" applyFont="1" applyBorder="1" applyAlignment="1" applyProtection="1">
      <alignment vertical="top"/>
      <protection locked="0"/>
    </xf>
    <xf numFmtId="0" fontId="52" fillId="0" borderId="0" xfId="0" applyFont="1" applyProtection="1">
      <protection locked="0"/>
    </xf>
    <xf numFmtId="167" fontId="19" fillId="0" borderId="47" xfId="2" applyNumberFormat="1" applyFont="1" applyBorder="1" applyAlignment="1" applyProtection="1">
      <alignment vertical="top"/>
      <protection locked="0"/>
    </xf>
    <xf numFmtId="164" fontId="20" fillId="0" borderId="0" xfId="2" applyNumberFormat="1" applyFont="1" applyAlignment="1" applyProtection="1">
      <alignment vertical="top"/>
      <protection locked="0"/>
    </xf>
    <xf numFmtId="0" fontId="19" fillId="0" borderId="0" xfId="2" applyFont="1" applyAlignment="1" applyProtection="1">
      <alignment horizontal="center" vertical="center"/>
      <protection locked="0"/>
    </xf>
    <xf numFmtId="164" fontId="19" fillId="0" borderId="0" xfId="2" applyNumberFormat="1" applyFont="1" applyAlignment="1" applyProtection="1">
      <alignment horizontal="center" vertical="center"/>
      <protection locked="0"/>
    </xf>
    <xf numFmtId="0" fontId="20" fillId="0" borderId="0" xfId="2" applyFont="1" applyAlignment="1" applyProtection="1">
      <alignment horizontal="right" vertical="top"/>
      <protection locked="0"/>
    </xf>
    <xf numFmtId="4" fontId="20" fillId="5" borderId="19" xfId="1" applyNumberFormat="1" applyFont="1" applyFill="1" applyBorder="1" applyAlignment="1" applyProtection="1">
      <alignment horizontal="right" vertical="center"/>
      <protection locked="0"/>
    </xf>
    <xf numFmtId="4" fontId="30" fillId="5" borderId="14" xfId="1" applyNumberFormat="1" applyFont="1" applyFill="1" applyBorder="1" applyAlignment="1" applyProtection="1">
      <alignment horizontal="right" vertical="center"/>
      <protection locked="0"/>
    </xf>
    <xf numFmtId="0" fontId="35" fillId="0" borderId="0" xfId="2" applyFont="1" applyAlignment="1" applyProtection="1">
      <alignment vertical="top"/>
      <protection locked="0"/>
    </xf>
    <xf numFmtId="4" fontId="20" fillId="5" borderId="23" xfId="1" applyNumberFormat="1" applyFont="1" applyFill="1" applyBorder="1" applyAlignment="1" applyProtection="1">
      <alignment horizontal="right" vertical="center"/>
      <protection locked="0"/>
    </xf>
    <xf numFmtId="164" fontId="20" fillId="0" borderId="0" xfId="2" applyNumberFormat="1" applyFont="1" applyAlignment="1" applyProtection="1">
      <alignment horizontal="center" vertical="center"/>
      <protection locked="0"/>
    </xf>
    <xf numFmtId="4" fontId="20" fillId="0" borderId="59" xfId="2" applyNumberFormat="1" applyFont="1" applyBorder="1" applyAlignment="1" applyProtection="1">
      <alignment horizontal="right" vertical="center"/>
      <protection locked="0"/>
    </xf>
    <xf numFmtId="0" fontId="29" fillId="0" borderId="0" xfId="2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left" wrapText="1"/>
      <protection locked="0"/>
    </xf>
    <xf numFmtId="0" fontId="23" fillId="0" borderId="0" xfId="2" applyFont="1" applyAlignment="1" applyProtection="1">
      <alignment horizontal="left" vertical="top"/>
      <protection locked="0"/>
    </xf>
    <xf numFmtId="164" fontId="23" fillId="0" borderId="0" xfId="2" applyNumberFormat="1" applyFont="1" applyAlignment="1" applyProtection="1">
      <alignment horizontal="left" vertical="top"/>
      <protection locked="0"/>
    </xf>
    <xf numFmtId="0" fontId="19" fillId="0" borderId="52" xfId="0" applyFont="1" applyBorder="1" applyAlignment="1" applyProtection="1">
      <alignment horizontal="right"/>
      <protection locked="0"/>
    </xf>
    <xf numFmtId="0" fontId="20" fillId="0" borderId="0" xfId="0" applyFont="1" applyProtection="1">
      <protection locked="0"/>
    </xf>
    <xf numFmtId="0" fontId="20" fillId="0" borderId="36" xfId="0" applyFont="1" applyBorder="1" applyAlignment="1" applyProtection="1">
      <alignment horizontal="right"/>
      <protection locked="0"/>
    </xf>
    <xf numFmtId="0" fontId="20" fillId="0" borderId="43" xfId="0" applyFont="1" applyBorder="1" applyAlignment="1" applyProtection="1">
      <alignment horizontal="center"/>
      <protection locked="0"/>
    </xf>
    <xf numFmtId="0" fontId="19" fillId="0" borderId="21" xfId="0" applyFont="1" applyBorder="1" applyAlignment="1" applyProtection="1">
      <alignment horizontal="right"/>
      <protection locked="0"/>
    </xf>
    <xf numFmtId="0" fontId="19" fillId="0" borderId="16" xfId="0" applyFont="1" applyBorder="1" applyAlignment="1" applyProtection="1">
      <alignment horizontal="center"/>
      <protection locked="0"/>
    </xf>
    <xf numFmtId="0" fontId="19" fillId="0" borderId="16" xfId="0" applyFont="1" applyBorder="1" applyAlignment="1" applyProtection="1">
      <alignment horizontal="right"/>
      <protection locked="0"/>
    </xf>
    <xf numFmtId="0" fontId="19" fillId="0" borderId="22" xfId="0" applyFont="1" applyBorder="1" applyAlignment="1" applyProtection="1">
      <alignment horizontal="center"/>
      <protection locked="0"/>
    </xf>
    <xf numFmtId="0" fontId="19" fillId="0" borderId="24" xfId="2" applyFont="1" applyBorder="1" applyAlignment="1" applyProtection="1">
      <alignment horizontal="center" vertical="top"/>
      <protection locked="0"/>
    </xf>
    <xf numFmtId="164" fontId="19" fillId="0" borderId="24" xfId="2" applyNumberFormat="1" applyFont="1" applyBorder="1" applyAlignment="1" applyProtection="1">
      <alignment horizontal="center" vertical="top"/>
      <protection locked="0"/>
    </xf>
    <xf numFmtId="0" fontId="19" fillId="0" borderId="0" xfId="2" applyFont="1" applyAlignment="1" applyProtection="1">
      <alignment horizontal="right" vertical="top"/>
      <protection locked="0"/>
    </xf>
    <xf numFmtId="0" fontId="20" fillId="9" borderId="16" xfId="0" applyFont="1" applyFill="1" applyBorder="1" applyProtection="1">
      <protection locked="0"/>
    </xf>
    <xf numFmtId="14" fontId="19" fillId="9" borderId="0" xfId="0" applyNumberFormat="1" applyFont="1" applyFill="1" applyAlignment="1" applyProtection="1">
      <alignment horizontal="left"/>
      <protection locked="0"/>
    </xf>
    <xf numFmtId="0" fontId="51" fillId="0" borderId="0" xfId="0" applyFont="1" applyProtection="1"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/>
      <protection locked="0"/>
    </xf>
    <xf numFmtId="167" fontId="19" fillId="13" borderId="0" xfId="2" applyNumberFormat="1" applyFont="1" applyFill="1" applyAlignment="1">
      <alignment vertical="top"/>
    </xf>
    <xf numFmtId="0" fontId="20" fillId="6" borderId="44" xfId="2" applyFont="1" applyFill="1" applyBorder="1" applyAlignment="1">
      <alignment horizontal="left" vertical="top"/>
    </xf>
    <xf numFmtId="0" fontId="20" fillId="2" borderId="0" xfId="2" applyFont="1" applyFill="1" applyAlignment="1">
      <alignment horizontal="center" vertical="top"/>
    </xf>
    <xf numFmtId="0" fontId="20" fillId="6" borderId="44" xfId="2" applyFont="1" applyFill="1" applyBorder="1" applyAlignment="1">
      <alignment horizontal="left" vertical="center"/>
    </xf>
    <xf numFmtId="2" fontId="20" fillId="6" borderId="44" xfId="2" applyNumberFormat="1" applyFont="1" applyFill="1" applyBorder="1" applyAlignment="1">
      <alignment horizontal="left" vertical="center"/>
    </xf>
    <xf numFmtId="167" fontId="20" fillId="6" borderId="36" xfId="2" applyNumberFormat="1" applyFont="1" applyFill="1" applyBorder="1" applyAlignment="1">
      <alignment horizontal="left" vertical="center"/>
    </xf>
    <xf numFmtId="0" fontId="20" fillId="2" borderId="43" xfId="2" applyFont="1" applyFill="1" applyBorder="1" applyAlignment="1">
      <alignment horizontal="center" vertical="top"/>
    </xf>
    <xf numFmtId="0" fontId="18" fillId="5" borderId="0" xfId="0" applyFont="1" applyFill="1" applyAlignment="1">
      <alignment horizontal="left" vertical="center"/>
    </xf>
    <xf numFmtId="0" fontId="17" fillId="7" borderId="34" xfId="2" applyFont="1" applyFill="1" applyBorder="1" applyAlignment="1">
      <alignment horizontal="center"/>
    </xf>
    <xf numFmtId="0" fontId="17" fillId="7" borderId="41" xfId="2" applyFont="1" applyFill="1" applyBorder="1" applyAlignment="1">
      <alignment horizontal="center"/>
    </xf>
    <xf numFmtId="0" fontId="17" fillId="7" borderId="35" xfId="2" applyFont="1" applyFill="1" applyBorder="1" applyAlignment="1">
      <alignment horizontal="center"/>
    </xf>
    <xf numFmtId="0" fontId="17" fillId="7" borderId="44" xfId="2" applyFont="1" applyFill="1" applyBorder="1" applyAlignment="1">
      <alignment horizontal="center" vertical="top"/>
    </xf>
    <xf numFmtId="0" fontId="17" fillId="7" borderId="0" xfId="2" applyFont="1" applyFill="1" applyAlignment="1">
      <alignment horizontal="center" vertical="top"/>
    </xf>
    <xf numFmtId="0" fontId="17" fillId="7" borderId="49" xfId="2" applyFont="1" applyFill="1" applyBorder="1" applyAlignment="1">
      <alignment horizontal="center" vertical="top"/>
    </xf>
    <xf numFmtId="0" fontId="18" fillId="5" borderId="0" xfId="0" applyFont="1" applyFill="1" applyAlignment="1">
      <alignment horizontal="left" vertical="center" wrapText="1"/>
    </xf>
    <xf numFmtId="0" fontId="20" fillId="6" borderId="34" xfId="0" applyFont="1" applyFill="1" applyBorder="1" applyAlignment="1">
      <alignment horizontal="left"/>
    </xf>
    <xf numFmtId="0" fontId="20" fillId="6" borderId="41" xfId="0" applyFont="1" applyFill="1" applyBorder="1" applyAlignment="1">
      <alignment horizontal="left"/>
    </xf>
    <xf numFmtId="0" fontId="20" fillId="6" borderId="35" xfId="0" applyFont="1" applyFill="1" applyBorder="1" applyAlignment="1">
      <alignment horizontal="left"/>
    </xf>
    <xf numFmtId="0" fontId="20" fillId="6" borderId="44" xfId="0" applyFont="1" applyFill="1" applyBorder="1" applyAlignment="1">
      <alignment horizontal="left"/>
    </xf>
    <xf numFmtId="0" fontId="20" fillId="6" borderId="0" xfId="0" applyFont="1" applyFill="1" applyAlignment="1">
      <alignment horizontal="left"/>
    </xf>
    <xf numFmtId="0" fontId="20" fillId="6" borderId="49" xfId="0" applyFont="1" applyFill="1" applyBorder="1" applyAlignment="1">
      <alignment horizontal="left"/>
    </xf>
    <xf numFmtId="0" fontId="20" fillId="0" borderId="21" xfId="0" applyFont="1" applyBorder="1" applyAlignment="1">
      <alignment horizontal="right"/>
    </xf>
    <xf numFmtId="0" fontId="20" fillId="0" borderId="16" xfId="0" applyFont="1" applyBorder="1" applyAlignment="1">
      <alignment horizontal="right"/>
    </xf>
    <xf numFmtId="0" fontId="20" fillId="0" borderId="22" xfId="0" applyFont="1" applyBorder="1" applyAlignment="1">
      <alignment horizontal="right"/>
    </xf>
    <xf numFmtId="0" fontId="20" fillId="6" borderId="36" xfId="0" applyFont="1" applyFill="1" applyBorder="1" applyAlignment="1">
      <alignment horizontal="left"/>
    </xf>
    <xf numFmtId="0" fontId="20" fillId="6" borderId="43" xfId="0" applyFont="1" applyFill="1" applyBorder="1" applyAlignment="1">
      <alignment horizontal="left"/>
    </xf>
    <xf numFmtId="0" fontId="20" fillId="4" borderId="30" xfId="0" applyFont="1" applyFill="1" applyBorder="1" applyAlignment="1">
      <alignment horizontal="center"/>
    </xf>
    <xf numFmtId="0" fontId="20" fillId="4" borderId="33" xfId="0" applyFont="1" applyFill="1" applyBorder="1" applyAlignment="1">
      <alignment horizontal="center"/>
    </xf>
    <xf numFmtId="0" fontId="19" fillId="0" borderId="3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7" fillId="7" borderId="34" xfId="0" applyFont="1" applyFill="1" applyBorder="1" applyAlignment="1">
      <alignment horizontal="center"/>
    </xf>
    <xf numFmtId="0" fontId="17" fillId="7" borderId="41" xfId="0" applyFont="1" applyFill="1" applyBorder="1" applyAlignment="1">
      <alignment horizontal="center"/>
    </xf>
    <xf numFmtId="0" fontId="17" fillId="7" borderId="35" xfId="0" applyFont="1" applyFill="1" applyBorder="1" applyAlignment="1">
      <alignment horizontal="center"/>
    </xf>
    <xf numFmtId="0" fontId="25" fillId="7" borderId="36" xfId="0" applyFont="1" applyFill="1" applyBorder="1" applyAlignment="1">
      <alignment horizontal="center"/>
    </xf>
    <xf numFmtId="0" fontId="25" fillId="7" borderId="43" xfId="0" applyFont="1" applyFill="1" applyBorder="1" applyAlignment="1">
      <alignment horizontal="center"/>
    </xf>
    <xf numFmtId="0" fontId="25" fillId="7" borderId="37" xfId="0" applyFont="1" applyFill="1" applyBorder="1" applyAlignment="1">
      <alignment horizontal="center"/>
    </xf>
    <xf numFmtId="0" fontId="17" fillId="7" borderId="36" xfId="0" applyFont="1" applyFill="1" applyBorder="1" applyAlignment="1">
      <alignment horizontal="center" vertical="top"/>
    </xf>
    <xf numFmtId="0" fontId="17" fillId="7" borderId="43" xfId="0" applyFont="1" applyFill="1" applyBorder="1" applyAlignment="1">
      <alignment horizontal="center" vertical="top"/>
    </xf>
    <xf numFmtId="0" fontId="17" fillId="7" borderId="37" xfId="0" applyFont="1" applyFill="1" applyBorder="1" applyAlignment="1">
      <alignment horizontal="center" vertical="top"/>
    </xf>
    <xf numFmtId="0" fontId="20" fillId="4" borderId="57" xfId="0" applyFont="1" applyFill="1" applyBorder="1" applyAlignment="1" applyProtection="1">
      <alignment horizontal="left"/>
      <protection locked="0"/>
    </xf>
    <xf numFmtId="0" fontId="20" fillId="4" borderId="58" xfId="0" applyFont="1" applyFill="1" applyBorder="1" applyAlignment="1" applyProtection="1">
      <alignment horizontal="left"/>
      <protection locked="0"/>
    </xf>
    <xf numFmtId="0" fontId="20" fillId="4" borderId="14" xfId="0" applyFont="1" applyFill="1" applyBorder="1" applyAlignment="1" applyProtection="1">
      <alignment horizontal="left"/>
      <protection locked="0"/>
    </xf>
    <xf numFmtId="0" fontId="20" fillId="4" borderId="15" xfId="0" applyFont="1" applyFill="1" applyBorder="1" applyAlignment="1" applyProtection="1">
      <alignment horizontal="left"/>
      <protection locked="0"/>
    </xf>
    <xf numFmtId="0" fontId="19" fillId="0" borderId="40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2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0" fontId="18" fillId="0" borderId="42" xfId="0" applyFont="1" applyBorder="1" applyAlignment="1">
      <alignment horizontal="left" vertical="top" wrapText="1"/>
    </xf>
    <xf numFmtId="0" fontId="18" fillId="0" borderId="40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42" xfId="0" applyFont="1" applyBorder="1" applyAlignment="1">
      <alignment horizontal="center"/>
    </xf>
    <xf numFmtId="0" fontId="19" fillId="0" borderId="40" xfId="0" applyFont="1" applyBorder="1" applyAlignment="1">
      <alignment horizontal="left" vertical="top" wrapText="1"/>
    </xf>
    <xf numFmtId="0" fontId="25" fillId="7" borderId="30" xfId="0" applyFont="1" applyFill="1" applyBorder="1" applyAlignment="1">
      <alignment horizontal="center"/>
    </xf>
    <xf numFmtId="0" fontId="25" fillId="7" borderId="32" xfId="0" applyFont="1" applyFill="1" applyBorder="1" applyAlignment="1">
      <alignment horizontal="center"/>
    </xf>
    <xf numFmtId="0" fontId="25" fillId="7" borderId="30" xfId="0" applyFont="1" applyFill="1" applyBorder="1" applyAlignment="1">
      <alignment horizontal="center" vertical="center" wrapText="1"/>
    </xf>
    <xf numFmtId="0" fontId="25" fillId="7" borderId="32" xfId="0" applyFont="1" applyFill="1" applyBorder="1" applyAlignment="1">
      <alignment horizontal="center" vertical="center" wrapText="1"/>
    </xf>
    <xf numFmtId="0" fontId="19" fillId="0" borderId="41" xfId="0" applyFont="1" applyBorder="1" applyAlignment="1">
      <alignment horizontal="left" vertical="center"/>
    </xf>
    <xf numFmtId="0" fontId="19" fillId="0" borderId="45" xfId="0" applyFont="1" applyBorder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18" fillId="5" borderId="3" xfId="0" applyFont="1" applyFill="1" applyBorder="1" applyAlignment="1" applyProtection="1">
      <alignment horizontal="left" indent="2"/>
      <protection locked="0"/>
    </xf>
    <xf numFmtId="0" fontId="18" fillId="5" borderId="0" xfId="0" applyFont="1" applyFill="1" applyAlignment="1" applyProtection="1">
      <alignment horizontal="left" indent="2"/>
      <protection locked="0"/>
    </xf>
    <xf numFmtId="0" fontId="18" fillId="5" borderId="4" xfId="0" applyFont="1" applyFill="1" applyBorder="1" applyAlignment="1" applyProtection="1">
      <alignment horizontal="left" indent="2"/>
      <protection locked="0"/>
    </xf>
    <xf numFmtId="0" fontId="18" fillId="5" borderId="5" xfId="0" applyFont="1" applyFill="1" applyBorder="1" applyAlignment="1" applyProtection="1">
      <alignment horizontal="left" indent="2"/>
      <protection locked="0"/>
    </xf>
    <xf numFmtId="0" fontId="18" fillId="5" borderId="6" xfId="0" applyFont="1" applyFill="1" applyBorder="1" applyAlignment="1" applyProtection="1">
      <alignment horizontal="left" indent="2"/>
      <protection locked="0"/>
    </xf>
    <xf numFmtId="0" fontId="18" fillId="5" borderId="7" xfId="0" applyFont="1" applyFill="1" applyBorder="1" applyAlignment="1" applyProtection="1">
      <alignment horizontal="left" indent="2"/>
      <protection locked="0"/>
    </xf>
    <xf numFmtId="0" fontId="17" fillId="7" borderId="34" xfId="0" applyFont="1" applyFill="1" applyBorder="1" applyAlignment="1" applyProtection="1">
      <alignment horizontal="center"/>
      <protection locked="0"/>
    </xf>
    <xf numFmtId="0" fontId="17" fillId="7" borderId="41" xfId="0" applyFont="1" applyFill="1" applyBorder="1" applyAlignment="1" applyProtection="1">
      <alignment horizontal="center"/>
      <protection locked="0"/>
    </xf>
    <xf numFmtId="0" fontId="17" fillId="7" borderId="35" xfId="0" applyFont="1" applyFill="1" applyBorder="1" applyAlignment="1" applyProtection="1">
      <alignment horizontal="center"/>
      <protection locked="0"/>
    </xf>
    <xf numFmtId="0" fontId="18" fillId="5" borderId="3" xfId="0" applyFont="1" applyFill="1" applyBorder="1" applyAlignment="1" applyProtection="1">
      <alignment horizontal="left" wrapText="1"/>
      <protection locked="0"/>
    </xf>
    <xf numFmtId="0" fontId="18" fillId="5" borderId="0" xfId="0" applyFont="1" applyFill="1" applyAlignment="1" applyProtection="1">
      <alignment horizontal="left" wrapText="1"/>
      <protection locked="0"/>
    </xf>
    <xf numFmtId="0" fontId="18" fillId="5" borderId="4" xfId="0" applyFont="1" applyFill="1" applyBorder="1" applyAlignment="1" applyProtection="1">
      <alignment horizontal="left" wrapText="1"/>
      <protection locked="0"/>
    </xf>
    <xf numFmtId="0" fontId="17" fillId="7" borderId="36" xfId="0" applyFont="1" applyFill="1" applyBorder="1" applyAlignment="1" applyProtection="1">
      <alignment horizontal="center" vertical="top"/>
      <protection locked="0"/>
    </xf>
    <xf numFmtId="0" fontId="17" fillId="7" borderId="43" xfId="0" applyFont="1" applyFill="1" applyBorder="1" applyAlignment="1" applyProtection="1">
      <alignment horizontal="center" vertical="top"/>
      <protection locked="0"/>
    </xf>
    <xf numFmtId="0" fontId="17" fillId="7" borderId="37" xfId="0" applyFont="1" applyFill="1" applyBorder="1" applyAlignment="1" applyProtection="1">
      <alignment horizontal="center" vertical="top"/>
      <protection locked="0"/>
    </xf>
    <xf numFmtId="49" fontId="28" fillId="6" borderId="34" xfId="0" applyNumberFormat="1" applyFont="1" applyFill="1" applyBorder="1" applyAlignment="1" applyProtection="1">
      <alignment horizontal="left"/>
      <protection locked="0"/>
    </xf>
    <xf numFmtId="49" fontId="28" fillId="6" borderId="41" xfId="0" applyNumberFormat="1" applyFont="1" applyFill="1" applyBorder="1" applyAlignment="1" applyProtection="1">
      <alignment horizontal="left"/>
      <protection locked="0"/>
    </xf>
    <xf numFmtId="49" fontId="28" fillId="6" borderId="35" xfId="0" applyNumberFormat="1" applyFont="1" applyFill="1" applyBorder="1" applyAlignment="1" applyProtection="1">
      <alignment horizontal="left"/>
      <protection locked="0"/>
    </xf>
    <xf numFmtId="49" fontId="28" fillId="6" borderId="44" xfId="0" applyNumberFormat="1" applyFont="1" applyFill="1" applyBorder="1" applyAlignment="1" applyProtection="1">
      <alignment horizontal="left"/>
      <protection locked="0"/>
    </xf>
    <xf numFmtId="49" fontId="28" fillId="6" borderId="0" xfId="0" applyNumberFormat="1" applyFont="1" applyFill="1" applyAlignment="1" applyProtection="1">
      <alignment horizontal="left"/>
      <protection locked="0"/>
    </xf>
    <xf numFmtId="49" fontId="28" fillId="6" borderId="49" xfId="0" applyNumberFormat="1" applyFont="1" applyFill="1" applyBorder="1" applyAlignment="1" applyProtection="1">
      <alignment horizontal="left"/>
      <protection locked="0"/>
    </xf>
    <xf numFmtId="0" fontId="20" fillId="2" borderId="12" xfId="0" applyFont="1" applyFill="1" applyBorder="1" applyAlignment="1" applyProtection="1">
      <alignment horizontal="left" wrapText="1"/>
      <protection locked="0"/>
    </xf>
    <xf numFmtId="0" fontId="20" fillId="2" borderId="9" xfId="0" applyFont="1" applyFill="1" applyBorder="1" applyAlignment="1" applyProtection="1">
      <alignment horizontal="left" wrapText="1"/>
      <protection locked="0"/>
    </xf>
    <xf numFmtId="0" fontId="20" fillId="2" borderId="48" xfId="0" applyFont="1" applyFill="1" applyBorder="1" applyAlignment="1" applyProtection="1">
      <alignment horizontal="left" wrapText="1"/>
      <protection locked="0"/>
    </xf>
    <xf numFmtId="0" fontId="20" fillId="2" borderId="12" xfId="0" applyFont="1" applyFill="1" applyBorder="1" applyAlignment="1" applyProtection="1">
      <alignment horizontal="left"/>
      <protection locked="0"/>
    </xf>
    <xf numFmtId="0" fontId="20" fillId="2" borderId="9" xfId="0" applyFont="1" applyFill="1" applyBorder="1" applyAlignment="1" applyProtection="1">
      <alignment horizontal="left"/>
      <protection locked="0"/>
    </xf>
    <xf numFmtId="0" fontId="20" fillId="2" borderId="48" xfId="0" applyFont="1" applyFill="1" applyBorder="1" applyAlignment="1" applyProtection="1">
      <alignment horizontal="left"/>
      <protection locked="0"/>
    </xf>
    <xf numFmtId="0" fontId="20" fillId="2" borderId="61" xfId="0" applyFont="1" applyFill="1" applyBorder="1" applyAlignment="1" applyProtection="1">
      <alignment horizontal="right" wrapText="1"/>
      <protection locked="0"/>
    </xf>
    <xf numFmtId="0" fontId="20" fillId="2" borderId="20" xfId="0" applyFont="1" applyFill="1" applyBorder="1" applyAlignment="1" applyProtection="1">
      <alignment horizontal="right" wrapText="1"/>
      <protection locked="0"/>
    </xf>
    <xf numFmtId="0" fontId="20" fillId="2" borderId="51" xfId="0" applyFont="1" applyFill="1" applyBorder="1" applyAlignment="1" applyProtection="1">
      <alignment horizontal="right" wrapText="1"/>
      <protection locked="0"/>
    </xf>
    <xf numFmtId="0" fontId="20" fillId="2" borderId="3" xfId="0" applyFont="1" applyFill="1" applyBorder="1" applyAlignment="1" applyProtection="1">
      <alignment horizontal="right"/>
      <protection locked="0"/>
    </xf>
    <xf numFmtId="0" fontId="20" fillId="2" borderId="0" xfId="0" applyFont="1" applyFill="1" applyAlignment="1" applyProtection="1">
      <alignment horizontal="right"/>
      <protection locked="0"/>
    </xf>
    <xf numFmtId="0" fontId="20" fillId="2" borderId="4" xfId="0" applyFont="1" applyFill="1" applyBorder="1" applyAlignment="1" applyProtection="1">
      <alignment horizontal="right"/>
      <protection locked="0"/>
    </xf>
    <xf numFmtId="0" fontId="20" fillId="2" borderId="31" xfId="0" applyFont="1" applyFill="1" applyBorder="1" applyAlignment="1" applyProtection="1">
      <alignment horizontal="right"/>
      <protection locked="0"/>
    </xf>
    <xf numFmtId="0" fontId="20" fillId="2" borderId="16" xfId="0" applyFont="1" applyFill="1" applyBorder="1" applyAlignment="1" applyProtection="1">
      <alignment horizontal="right"/>
      <protection locked="0"/>
    </xf>
    <xf numFmtId="0" fontId="20" fillId="2" borderId="25" xfId="0" applyFont="1" applyFill="1" applyBorder="1" applyAlignment="1" applyProtection="1">
      <alignment horizontal="right"/>
      <protection locked="0"/>
    </xf>
    <xf numFmtId="0" fontId="18" fillId="5" borderId="61" xfId="0" applyFont="1" applyFill="1" applyBorder="1" applyAlignment="1" applyProtection="1">
      <alignment horizontal="left" wrapText="1"/>
      <protection locked="0"/>
    </xf>
    <xf numFmtId="0" fontId="18" fillId="5" borderId="20" xfId="0" applyFont="1" applyFill="1" applyBorder="1" applyAlignment="1" applyProtection="1">
      <alignment horizontal="left" wrapText="1"/>
      <protection locked="0"/>
    </xf>
    <xf numFmtId="0" fontId="18" fillId="5" borderId="51" xfId="0" applyFont="1" applyFill="1" applyBorder="1" applyAlignment="1" applyProtection="1">
      <alignment horizontal="left" wrapText="1"/>
      <protection locked="0"/>
    </xf>
    <xf numFmtId="0" fontId="20" fillId="0" borderId="12" xfId="2" applyFont="1" applyBorder="1" applyAlignment="1" applyProtection="1">
      <alignment horizontal="right" vertical="center"/>
      <protection locked="0"/>
    </xf>
    <xf numFmtId="0" fontId="20" fillId="0" borderId="9" xfId="2" applyFont="1" applyBorder="1" applyAlignment="1" applyProtection="1">
      <alignment horizontal="right" vertical="center"/>
      <protection locked="0"/>
    </xf>
    <xf numFmtId="0" fontId="20" fillId="0" borderId="48" xfId="2" applyFont="1" applyBorder="1" applyAlignment="1" applyProtection="1">
      <alignment horizontal="right" vertical="center"/>
      <protection locked="0"/>
    </xf>
    <xf numFmtId="0" fontId="18" fillId="0" borderId="34" xfId="2" applyFont="1" applyBorder="1" applyAlignment="1" applyProtection="1">
      <alignment horizontal="left" vertical="top" wrapText="1"/>
      <protection locked="0"/>
    </xf>
    <xf numFmtId="0" fontId="18" fillId="0" borderId="41" xfId="2" applyFont="1" applyBorder="1" applyAlignment="1" applyProtection="1">
      <alignment horizontal="left" vertical="top" wrapText="1"/>
      <protection locked="0"/>
    </xf>
    <xf numFmtId="0" fontId="18" fillId="0" borderId="35" xfId="2" applyFont="1" applyBorder="1" applyAlignment="1" applyProtection="1">
      <alignment horizontal="left" vertical="top" wrapText="1"/>
      <protection locked="0"/>
    </xf>
    <xf numFmtId="0" fontId="18" fillId="0" borderId="44" xfId="2" applyFont="1" applyBorder="1" applyAlignment="1" applyProtection="1">
      <alignment horizontal="left" vertical="top" wrapText="1"/>
      <protection locked="0"/>
    </xf>
    <xf numFmtId="0" fontId="18" fillId="0" borderId="0" xfId="2" applyFont="1" applyAlignment="1" applyProtection="1">
      <alignment horizontal="left" vertical="top" wrapText="1"/>
      <protection locked="0"/>
    </xf>
    <xf numFmtId="0" fontId="18" fillId="0" borderId="49" xfId="2" applyFont="1" applyBorder="1" applyAlignment="1" applyProtection="1">
      <alignment horizontal="left" vertical="top" wrapText="1"/>
      <protection locked="0"/>
    </xf>
    <xf numFmtId="0" fontId="18" fillId="0" borderId="36" xfId="2" applyFont="1" applyBorder="1" applyAlignment="1" applyProtection="1">
      <alignment horizontal="left" vertical="top" wrapText="1"/>
      <protection locked="0"/>
    </xf>
    <xf numFmtId="0" fontId="18" fillId="0" borderId="43" xfId="2" applyFont="1" applyBorder="1" applyAlignment="1" applyProtection="1">
      <alignment horizontal="left" vertical="top" wrapText="1"/>
      <protection locked="0"/>
    </xf>
    <xf numFmtId="0" fontId="18" fillId="0" borderId="37" xfId="2" applyFont="1" applyBorder="1" applyAlignment="1" applyProtection="1">
      <alignment horizontal="left" vertical="top" wrapText="1"/>
      <protection locked="0"/>
    </xf>
    <xf numFmtId="0" fontId="19" fillId="5" borderId="30" xfId="0" applyFont="1" applyFill="1" applyBorder="1" applyAlignment="1" applyProtection="1">
      <alignment horizontal="center"/>
      <protection locked="0"/>
    </xf>
    <xf numFmtId="0" fontId="19" fillId="5" borderId="32" xfId="0" applyFont="1" applyFill="1" applyBorder="1" applyAlignment="1" applyProtection="1">
      <alignment horizontal="center"/>
      <protection locked="0"/>
    </xf>
    <xf numFmtId="0" fontId="19" fillId="5" borderId="33" xfId="0" applyFont="1" applyFill="1" applyBorder="1" applyAlignment="1" applyProtection="1">
      <alignment horizontal="center"/>
      <protection locked="0"/>
    </xf>
    <xf numFmtId="0" fontId="22" fillId="5" borderId="19" xfId="2" applyFont="1" applyFill="1" applyBorder="1" applyAlignment="1" applyProtection="1">
      <alignment horizontal="center" vertical="center" wrapText="1"/>
      <protection locked="0"/>
    </xf>
    <xf numFmtId="0" fontId="22" fillId="5" borderId="23" xfId="2" applyFont="1" applyFill="1" applyBorder="1" applyAlignment="1" applyProtection="1">
      <alignment horizontal="center" vertical="center" wrapText="1"/>
      <protection locked="0"/>
    </xf>
    <xf numFmtId="0" fontId="19" fillId="0" borderId="10" xfId="2" applyFont="1" applyBorder="1" applyAlignment="1" applyProtection="1">
      <alignment horizontal="center" vertical="top"/>
      <protection locked="0"/>
    </xf>
    <xf numFmtId="0" fontId="19" fillId="0" borderId="11" xfId="2" applyFont="1" applyBorder="1" applyAlignment="1" applyProtection="1">
      <alignment horizontal="center" vertical="top"/>
      <protection locked="0"/>
    </xf>
    <xf numFmtId="0" fontId="19" fillId="0" borderId="20" xfId="2" applyFont="1" applyBorder="1" applyAlignment="1" applyProtection="1">
      <alignment horizontal="center" vertical="top"/>
      <protection locked="0"/>
    </xf>
    <xf numFmtId="0" fontId="19" fillId="0" borderId="0" xfId="2" applyFont="1" applyAlignment="1" applyProtection="1">
      <alignment horizontal="center" vertical="top"/>
      <protection locked="0"/>
    </xf>
    <xf numFmtId="0" fontId="23" fillId="0" borderId="3" xfId="2" applyFont="1" applyBorder="1" applyAlignment="1">
      <alignment horizontal="left" vertical="top" wrapText="1"/>
    </xf>
    <xf numFmtId="0" fontId="19" fillId="0" borderId="0" xfId="2" applyFont="1" applyAlignment="1">
      <alignment horizontal="left" vertical="top" wrapText="1"/>
    </xf>
    <xf numFmtId="0" fontId="19" fillId="6" borderId="19" xfId="2" applyFont="1" applyFill="1" applyBorder="1" applyAlignment="1">
      <alignment horizontal="center" vertical="top"/>
    </xf>
    <xf numFmtId="0" fontId="31" fillId="6" borderId="19" xfId="2" applyFont="1" applyFill="1" applyBorder="1" applyAlignment="1">
      <alignment horizontal="center" vertical="top"/>
    </xf>
    <xf numFmtId="0" fontId="26" fillId="0" borderId="6" xfId="2" applyFont="1" applyBorder="1" applyAlignment="1" applyProtection="1">
      <alignment horizontal="center" vertical="center"/>
      <protection locked="0"/>
    </xf>
    <xf numFmtId="0" fontId="19" fillId="0" borderId="4" xfId="2" applyFont="1" applyBorder="1" applyAlignment="1" applyProtection="1">
      <alignment horizontal="center" vertical="top"/>
      <protection locked="0"/>
    </xf>
    <xf numFmtId="0" fontId="19" fillId="0" borderId="3" xfId="2" applyFont="1" applyBorder="1" applyAlignment="1" applyProtection="1">
      <alignment horizontal="left" vertical="top" wrapText="1"/>
      <protection locked="0"/>
    </xf>
    <xf numFmtId="0" fontId="19" fillId="0" borderId="0" xfId="2" applyFont="1" applyAlignment="1" applyProtection="1">
      <alignment horizontal="left" vertical="top" wrapText="1"/>
      <protection locked="0"/>
    </xf>
    <xf numFmtId="0" fontId="19" fillId="0" borderId="4" xfId="2" applyFont="1" applyBorder="1" applyAlignment="1" applyProtection="1">
      <alignment horizontal="left" vertical="top" wrapText="1"/>
      <protection locked="0"/>
    </xf>
    <xf numFmtId="0" fontId="32" fillId="0" borderId="31" xfId="2" applyFont="1" applyBorder="1" applyAlignment="1" applyProtection="1">
      <alignment horizontal="right"/>
      <protection locked="0"/>
    </xf>
    <xf numFmtId="0" fontId="32" fillId="0" borderId="16" xfId="2" applyFont="1" applyBorder="1" applyAlignment="1" applyProtection="1">
      <alignment horizontal="right"/>
      <protection locked="0"/>
    </xf>
    <xf numFmtId="0" fontId="32" fillId="0" borderId="25" xfId="2" applyFont="1" applyBorder="1" applyAlignment="1" applyProtection="1">
      <alignment horizontal="right"/>
      <protection locked="0"/>
    </xf>
    <xf numFmtId="9" fontId="20" fillId="2" borderId="0" xfId="2" applyNumberFormat="1" applyFont="1" applyFill="1" applyAlignment="1" applyProtection="1">
      <alignment horizontal="center" vertical="top"/>
      <protection locked="0"/>
    </xf>
    <xf numFmtId="0" fontId="19" fillId="5" borderId="30" xfId="0" applyFont="1" applyFill="1" applyBorder="1" applyAlignment="1" applyProtection="1">
      <alignment horizontal="center" vertical="center" wrapText="1"/>
      <protection locked="0"/>
    </xf>
    <xf numFmtId="0" fontId="19" fillId="5" borderId="32" xfId="0" applyFont="1" applyFill="1" applyBorder="1" applyAlignment="1" applyProtection="1">
      <alignment horizontal="center" vertical="center" wrapText="1"/>
      <protection locked="0"/>
    </xf>
    <xf numFmtId="0" fontId="19" fillId="5" borderId="33" xfId="0" applyFont="1" applyFill="1" applyBorder="1" applyAlignment="1" applyProtection="1">
      <alignment horizontal="center" vertical="center" wrapText="1"/>
      <protection locked="0"/>
    </xf>
    <xf numFmtId="0" fontId="20" fillId="0" borderId="0" xfId="2" applyFont="1" applyAlignment="1" applyProtection="1">
      <alignment horizontal="left" vertical="top"/>
      <protection locked="0"/>
    </xf>
    <xf numFmtId="0" fontId="30" fillId="0" borderId="0" xfId="2" applyFont="1" applyAlignment="1" applyProtection="1">
      <alignment horizontal="left" vertical="top"/>
      <protection locked="0"/>
    </xf>
    <xf numFmtId="0" fontId="20" fillId="6" borderId="55" xfId="2" applyFont="1" applyFill="1" applyBorder="1" applyAlignment="1" applyProtection="1">
      <alignment horizontal="center" vertical="center"/>
      <protection locked="0"/>
    </xf>
    <xf numFmtId="0" fontId="20" fillId="6" borderId="19" xfId="2" applyFont="1" applyFill="1" applyBorder="1" applyAlignment="1" applyProtection="1">
      <alignment horizontal="center" vertical="center"/>
      <protection locked="0"/>
    </xf>
    <xf numFmtId="0" fontId="20" fillId="6" borderId="23" xfId="2" applyFont="1" applyFill="1" applyBorder="1" applyAlignment="1" applyProtection="1">
      <alignment horizontal="center" vertical="center"/>
      <protection locked="0"/>
    </xf>
    <xf numFmtId="0" fontId="20" fillId="6" borderId="55" xfId="2" applyFont="1" applyFill="1" applyBorder="1" applyAlignment="1" applyProtection="1">
      <alignment horizontal="center" vertical="center" wrapText="1"/>
      <protection locked="0"/>
    </xf>
    <xf numFmtId="0" fontId="20" fillId="6" borderId="19" xfId="2" applyFont="1" applyFill="1" applyBorder="1" applyAlignment="1" applyProtection="1">
      <alignment horizontal="center" vertical="center" wrapText="1"/>
      <protection locked="0"/>
    </xf>
    <xf numFmtId="0" fontId="20" fillId="6" borderId="23" xfId="2" applyFont="1" applyFill="1" applyBorder="1" applyAlignment="1" applyProtection="1">
      <alignment horizontal="center" vertical="center" wrapText="1"/>
      <protection locked="0"/>
    </xf>
    <xf numFmtId="0" fontId="20" fillId="6" borderId="27" xfId="2" applyFont="1" applyFill="1" applyBorder="1" applyAlignment="1" applyProtection="1">
      <alignment horizontal="center" vertical="center"/>
      <protection locked="0"/>
    </xf>
    <xf numFmtId="0" fontId="20" fillId="6" borderId="27" xfId="2" applyFont="1" applyFill="1" applyBorder="1" applyAlignment="1" applyProtection="1">
      <alignment horizontal="center" vertical="center" wrapText="1"/>
      <protection locked="0"/>
    </xf>
    <xf numFmtId="0" fontId="20" fillId="2" borderId="3" xfId="2" applyFont="1" applyFill="1" applyBorder="1" applyAlignment="1" applyProtection="1">
      <alignment horizontal="center" vertical="top"/>
      <protection locked="0"/>
    </xf>
    <xf numFmtId="0" fontId="20" fillId="2" borderId="0" xfId="2" applyFont="1" applyFill="1" applyAlignment="1" applyProtection="1">
      <alignment horizontal="center" vertical="top"/>
      <protection locked="0"/>
    </xf>
    <xf numFmtId="0" fontId="32" fillId="0" borderId="16" xfId="2" applyFont="1" applyBorder="1" applyAlignment="1" applyProtection="1">
      <alignment horizontal="right" vertical="center"/>
      <protection locked="0"/>
    </xf>
    <xf numFmtId="0" fontId="19" fillId="0" borderId="51" xfId="2" applyFont="1" applyBorder="1" applyAlignment="1" applyProtection="1">
      <alignment horizontal="center" vertical="top"/>
      <protection locked="0"/>
    </xf>
    <xf numFmtId="164" fontId="32" fillId="0" borderId="16" xfId="2" applyNumberFormat="1" applyFont="1" applyBorder="1" applyAlignment="1" applyProtection="1">
      <alignment horizontal="right" vertical="top"/>
      <protection locked="0"/>
    </xf>
    <xf numFmtId="0" fontId="26" fillId="0" borderId="0" xfId="2" applyFont="1" applyAlignment="1" applyProtection="1">
      <alignment horizontal="center" vertical="center"/>
      <protection locked="0"/>
    </xf>
    <xf numFmtId="0" fontId="20" fillId="6" borderId="44" xfId="2" applyFont="1" applyFill="1" applyBorder="1" applyAlignment="1">
      <alignment horizontal="left" vertical="top"/>
    </xf>
    <xf numFmtId="0" fontId="20" fillId="6" borderId="0" xfId="2" applyFont="1" applyFill="1" applyAlignment="1">
      <alignment horizontal="left" vertical="top"/>
    </xf>
    <xf numFmtId="167" fontId="19" fillId="6" borderId="19" xfId="2" applyNumberFormat="1" applyFont="1" applyFill="1" applyBorder="1" applyAlignment="1">
      <alignment horizontal="center" vertical="top"/>
    </xf>
    <xf numFmtId="0" fontId="17" fillId="7" borderId="34" xfId="2" applyFont="1" applyFill="1" applyBorder="1" applyAlignment="1" applyProtection="1">
      <alignment horizontal="center"/>
      <protection locked="0"/>
    </xf>
    <xf numFmtId="0" fontId="17" fillId="7" borderId="41" xfId="2" applyFont="1" applyFill="1" applyBorder="1" applyAlignment="1" applyProtection="1">
      <alignment horizontal="center"/>
      <protection locked="0"/>
    </xf>
    <xf numFmtId="0" fontId="17" fillId="7" borderId="35" xfId="2" applyFont="1" applyFill="1" applyBorder="1" applyAlignment="1" applyProtection="1">
      <alignment horizontal="center"/>
      <protection locked="0"/>
    </xf>
    <xf numFmtId="0" fontId="17" fillId="7" borderId="44" xfId="2" applyFont="1" applyFill="1" applyBorder="1" applyAlignment="1" applyProtection="1">
      <alignment horizontal="center" vertical="top"/>
      <protection locked="0"/>
    </xf>
    <xf numFmtId="0" fontId="17" fillId="7" borderId="0" xfId="2" applyFont="1" applyFill="1" applyAlignment="1" applyProtection="1">
      <alignment horizontal="center" vertical="top"/>
      <protection locked="0"/>
    </xf>
    <xf numFmtId="0" fontId="17" fillId="7" borderId="49" xfId="2" applyFont="1" applyFill="1" applyBorder="1" applyAlignment="1" applyProtection="1">
      <alignment horizontal="center" vertical="top"/>
      <protection locked="0"/>
    </xf>
    <xf numFmtId="0" fontId="19" fillId="0" borderId="12" xfId="2" applyFont="1" applyBorder="1" applyAlignment="1" applyProtection="1">
      <alignment horizontal="left" vertical="top" wrapText="1"/>
      <protection locked="0"/>
    </xf>
    <xf numFmtId="0" fontId="19" fillId="0" borderId="9" xfId="2" applyFont="1" applyBorder="1" applyAlignment="1" applyProtection="1">
      <alignment horizontal="left" vertical="top" wrapText="1"/>
      <protection locked="0"/>
    </xf>
    <xf numFmtId="0" fontId="19" fillId="0" borderId="48" xfId="2" applyFont="1" applyBorder="1" applyAlignment="1" applyProtection="1">
      <alignment horizontal="left" vertical="top" wrapText="1"/>
      <protection locked="0"/>
    </xf>
    <xf numFmtId="164" fontId="19" fillId="4" borderId="36" xfId="2" applyNumberFormat="1" applyFont="1" applyFill="1" applyBorder="1" applyAlignment="1" applyProtection="1">
      <alignment horizontal="center" vertical="center"/>
      <protection locked="0"/>
    </xf>
    <xf numFmtId="164" fontId="19" fillId="4" borderId="37" xfId="2" applyNumberFormat="1" applyFont="1" applyFill="1" applyBorder="1" applyAlignment="1" applyProtection="1">
      <alignment horizontal="center" vertical="center"/>
      <protection locked="0"/>
    </xf>
    <xf numFmtId="0" fontId="19" fillId="4" borderId="36" xfId="2" applyFont="1" applyFill="1" applyBorder="1" applyAlignment="1" applyProtection="1">
      <alignment horizontal="center" vertical="center"/>
      <protection locked="0"/>
    </xf>
    <xf numFmtId="0" fontId="19" fillId="4" borderId="37" xfId="2" applyFont="1" applyFill="1" applyBorder="1" applyAlignment="1" applyProtection="1">
      <alignment horizontal="center" vertical="center"/>
      <protection locked="0"/>
    </xf>
    <xf numFmtId="0" fontId="27" fillId="0" borderId="3" xfId="2" applyFont="1" applyBorder="1" applyAlignment="1" applyProtection="1">
      <alignment horizontal="right" vertical="center"/>
      <protection locked="0"/>
    </xf>
    <xf numFmtId="0" fontId="27" fillId="0" borderId="0" xfId="2" applyFont="1" applyAlignment="1" applyProtection="1">
      <alignment horizontal="right" vertical="center"/>
      <protection locked="0"/>
    </xf>
    <xf numFmtId="0" fontId="27" fillId="0" borderId="4" xfId="2" applyFont="1" applyBorder="1" applyAlignment="1" applyProtection="1">
      <alignment horizontal="right" vertical="center"/>
      <protection locked="0"/>
    </xf>
    <xf numFmtId="0" fontId="32" fillId="0" borderId="31" xfId="2" applyFont="1" applyBorder="1" applyAlignment="1" applyProtection="1">
      <alignment horizontal="right" vertical="top"/>
      <protection locked="0"/>
    </xf>
    <xf numFmtId="0" fontId="32" fillId="0" borderId="16" xfId="2" applyFont="1" applyBorder="1" applyAlignment="1" applyProtection="1">
      <alignment horizontal="right" vertical="top"/>
      <protection locked="0"/>
    </xf>
    <xf numFmtId="0" fontId="32" fillId="0" borderId="25" xfId="2" applyFont="1" applyBorder="1" applyAlignment="1" applyProtection="1">
      <alignment horizontal="right" vertical="top"/>
      <protection locked="0"/>
    </xf>
    <xf numFmtId="0" fontId="19" fillId="0" borderId="21" xfId="2" applyFont="1" applyBorder="1" applyAlignment="1" applyProtection="1">
      <alignment horizontal="center" vertical="top"/>
      <protection locked="0"/>
    </xf>
    <xf numFmtId="0" fontId="19" fillId="0" borderId="22" xfId="2" applyFont="1" applyBorder="1" applyAlignment="1" applyProtection="1">
      <alignment horizontal="center" vertical="top"/>
      <protection locked="0"/>
    </xf>
    <xf numFmtId="167" fontId="19" fillId="6" borderId="27" xfId="2" applyNumberFormat="1" applyFont="1" applyFill="1" applyBorder="1" applyAlignment="1">
      <alignment horizontal="center" vertical="top"/>
    </xf>
    <xf numFmtId="167" fontId="19" fillId="6" borderId="26" xfId="2" applyNumberFormat="1" applyFont="1" applyFill="1" applyBorder="1" applyAlignment="1">
      <alignment horizontal="center" vertical="top"/>
    </xf>
    <xf numFmtId="0" fontId="20" fillId="6" borderId="60" xfId="2" applyFont="1" applyFill="1" applyBorder="1" applyAlignment="1" applyProtection="1">
      <alignment horizontal="center" vertical="center"/>
      <protection locked="0"/>
    </xf>
    <xf numFmtId="0" fontId="20" fillId="6" borderId="56" xfId="2" applyFont="1" applyFill="1" applyBorder="1" applyAlignment="1" applyProtection="1">
      <alignment horizontal="center" vertical="center"/>
      <protection locked="0"/>
    </xf>
    <xf numFmtId="0" fontId="20" fillId="6" borderId="46" xfId="2" applyFont="1" applyFill="1" applyBorder="1" applyAlignment="1" applyProtection="1">
      <alignment horizontal="center" vertical="center"/>
      <protection locked="0"/>
    </xf>
    <xf numFmtId="0" fontId="19" fillId="5" borderId="30" xfId="0" applyFont="1" applyFill="1" applyBorder="1" applyAlignment="1" applyProtection="1">
      <alignment horizontal="center" wrapText="1"/>
      <protection locked="0"/>
    </xf>
    <xf numFmtId="0" fontId="19" fillId="5" borderId="32" xfId="0" applyFont="1" applyFill="1" applyBorder="1" applyAlignment="1" applyProtection="1">
      <alignment horizontal="center" wrapText="1"/>
      <protection locked="0"/>
    </xf>
    <xf numFmtId="0" fontId="19" fillId="5" borderId="33" xfId="0" applyFont="1" applyFill="1" applyBorder="1" applyAlignment="1" applyProtection="1">
      <alignment horizontal="center" wrapText="1"/>
      <protection locked="0"/>
    </xf>
    <xf numFmtId="0" fontId="20" fillId="6" borderId="20" xfId="2" applyFont="1" applyFill="1" applyBorder="1" applyAlignment="1" applyProtection="1">
      <alignment horizontal="center" vertical="center"/>
      <protection locked="0"/>
    </xf>
    <xf numFmtId="0" fontId="20" fillId="6" borderId="0" xfId="2" applyFont="1" applyFill="1" applyAlignment="1" applyProtection="1">
      <alignment horizontal="center" vertical="center"/>
      <protection locked="0"/>
    </xf>
    <xf numFmtId="0" fontId="19" fillId="0" borderId="12" xfId="2" applyFont="1" applyBorder="1" applyAlignment="1">
      <alignment horizontal="left" vertical="top"/>
    </xf>
    <xf numFmtId="0" fontId="19" fillId="0" borderId="16" xfId="2" applyFont="1" applyBorder="1" applyAlignment="1">
      <alignment horizontal="left" vertical="top"/>
    </xf>
    <xf numFmtId="0" fontId="19" fillId="0" borderId="9" xfId="2" applyFont="1" applyBorder="1" applyAlignment="1">
      <alignment horizontal="left" vertical="top"/>
    </xf>
    <xf numFmtId="0" fontId="19" fillId="0" borderId="25" xfId="2" applyFont="1" applyBorder="1" applyAlignment="1">
      <alignment horizontal="left" vertical="top"/>
    </xf>
    <xf numFmtId="0" fontId="20" fillId="0" borderId="21" xfId="0" applyFont="1" applyBorder="1" applyAlignment="1" applyProtection="1">
      <alignment horizontal="right" vertical="center"/>
      <protection locked="0"/>
    </xf>
    <xf numFmtId="0" fontId="20" fillId="0" borderId="16" xfId="0" applyFont="1" applyBorder="1" applyAlignment="1" applyProtection="1">
      <alignment horizontal="right" vertical="center"/>
      <protection locked="0"/>
    </xf>
    <xf numFmtId="0" fontId="20" fillId="0" borderId="22" xfId="0" applyFont="1" applyBorder="1" applyAlignment="1" applyProtection="1">
      <alignment horizontal="right" vertical="center"/>
      <protection locked="0"/>
    </xf>
    <xf numFmtId="167" fontId="20" fillId="0" borderId="21" xfId="0" applyNumberFormat="1" applyFont="1" applyBorder="1" applyAlignment="1" applyProtection="1">
      <alignment horizontal="center"/>
      <protection locked="0"/>
    </xf>
    <xf numFmtId="167" fontId="20" fillId="0" borderId="22" xfId="0" applyNumberFormat="1" applyFont="1" applyBorder="1" applyAlignment="1" applyProtection="1">
      <alignment horizontal="center"/>
      <protection locked="0"/>
    </xf>
    <xf numFmtId="0" fontId="19" fillId="0" borderId="12" xfId="2" applyFont="1" applyBorder="1" applyAlignment="1" applyProtection="1">
      <alignment horizontal="left" vertical="top"/>
      <protection locked="0"/>
    </xf>
    <xf numFmtId="0" fontId="19" fillId="0" borderId="9" xfId="2" applyFont="1" applyBorder="1" applyAlignment="1" applyProtection="1">
      <alignment horizontal="left" vertical="top"/>
      <protection locked="0"/>
    </xf>
    <xf numFmtId="0" fontId="19" fillId="0" borderId="48" xfId="2" applyFont="1" applyBorder="1" applyAlignment="1" applyProtection="1">
      <alignment horizontal="left" vertical="top"/>
      <protection locked="0"/>
    </xf>
    <xf numFmtId="167" fontId="19" fillId="6" borderId="23" xfId="2" applyNumberFormat="1" applyFont="1" applyFill="1" applyBorder="1" applyAlignment="1">
      <alignment horizontal="center" vertical="top"/>
    </xf>
    <xf numFmtId="0" fontId="17" fillId="7" borderId="36" xfId="2" applyFont="1" applyFill="1" applyBorder="1" applyAlignment="1" applyProtection="1">
      <alignment horizontal="center" vertical="top"/>
      <protection locked="0"/>
    </xf>
    <xf numFmtId="0" fontId="20" fillId="6" borderId="34" xfId="0" applyFont="1" applyFill="1" applyBorder="1" applyAlignment="1" applyProtection="1">
      <alignment horizontal="left"/>
      <protection locked="0"/>
    </xf>
    <xf numFmtId="0" fontId="20" fillId="6" borderId="41" xfId="0" applyFont="1" applyFill="1" applyBorder="1" applyAlignment="1" applyProtection="1">
      <alignment horizontal="left"/>
      <protection locked="0"/>
    </xf>
    <xf numFmtId="0" fontId="20" fillId="6" borderId="35" xfId="0" applyFont="1" applyFill="1" applyBorder="1" applyAlignment="1" applyProtection="1">
      <alignment horizontal="left"/>
      <protection locked="0"/>
    </xf>
    <xf numFmtId="0" fontId="20" fillId="6" borderId="44" xfId="0" applyFont="1" applyFill="1" applyBorder="1" applyAlignment="1" applyProtection="1">
      <alignment horizontal="left"/>
      <protection locked="0"/>
    </xf>
    <xf numFmtId="0" fontId="20" fillId="6" borderId="0" xfId="0" applyFont="1" applyFill="1" applyAlignment="1" applyProtection="1">
      <alignment horizontal="left"/>
      <protection locked="0"/>
    </xf>
    <xf numFmtId="0" fontId="20" fillId="6" borderId="49" xfId="0" applyFont="1" applyFill="1" applyBorder="1" applyAlignment="1" applyProtection="1">
      <alignment horizontal="left"/>
      <protection locked="0"/>
    </xf>
    <xf numFmtId="0" fontId="22" fillId="4" borderId="36" xfId="0" applyFont="1" applyFill="1" applyBorder="1" applyAlignment="1" applyProtection="1">
      <alignment horizontal="center"/>
      <protection locked="0"/>
    </xf>
    <xf numFmtId="0" fontId="22" fillId="4" borderId="37" xfId="0" applyFont="1" applyFill="1" applyBorder="1" applyAlignment="1" applyProtection="1">
      <alignment horizontal="center"/>
      <protection locked="0"/>
    </xf>
    <xf numFmtId="0" fontId="19" fillId="4" borderId="36" xfId="0" applyFont="1" applyFill="1" applyBorder="1" applyAlignment="1" applyProtection="1">
      <alignment horizontal="center"/>
      <protection locked="0"/>
    </xf>
    <xf numFmtId="0" fontId="19" fillId="4" borderId="37" xfId="0" applyFont="1" applyFill="1" applyBorder="1" applyAlignment="1" applyProtection="1">
      <alignment horizontal="center"/>
      <protection locked="0"/>
    </xf>
    <xf numFmtId="0" fontId="20" fillId="6" borderId="36" xfId="0" applyFont="1" applyFill="1" applyBorder="1" applyAlignment="1" applyProtection="1">
      <alignment horizontal="left"/>
      <protection locked="0"/>
    </xf>
    <xf numFmtId="0" fontId="20" fillId="6" borderId="43" xfId="0" applyFont="1" applyFill="1" applyBorder="1" applyAlignment="1" applyProtection="1">
      <alignment horizontal="left"/>
      <protection locked="0"/>
    </xf>
    <xf numFmtId="0" fontId="20" fillId="0" borderId="12" xfId="2" applyFont="1" applyBorder="1" applyAlignment="1">
      <alignment horizontal="right" vertical="center"/>
    </xf>
    <xf numFmtId="0" fontId="20" fillId="0" borderId="9" xfId="2" applyFont="1" applyBorder="1" applyAlignment="1">
      <alignment horizontal="right" vertical="center"/>
    </xf>
    <xf numFmtId="0" fontId="20" fillId="0" borderId="11" xfId="2" applyFont="1" applyBorder="1" applyAlignment="1">
      <alignment horizontal="right" vertical="center"/>
    </xf>
    <xf numFmtId="0" fontId="20" fillId="6" borderId="55" xfId="0" applyFont="1" applyFill="1" applyBorder="1" applyAlignment="1">
      <alignment horizontal="center" vertical="center"/>
    </xf>
    <xf numFmtId="0" fontId="20" fillId="6" borderId="19" xfId="0" applyFont="1" applyFill="1" applyBorder="1" applyAlignment="1">
      <alignment horizontal="center" vertical="center"/>
    </xf>
    <xf numFmtId="0" fontId="20" fillId="6" borderId="23" xfId="0" applyFont="1" applyFill="1" applyBorder="1" applyAlignment="1">
      <alignment horizontal="center" vertical="center"/>
    </xf>
    <xf numFmtId="167" fontId="20" fillId="0" borderId="21" xfId="0" applyNumberFormat="1" applyFont="1" applyBorder="1" applyAlignment="1">
      <alignment horizontal="center"/>
    </xf>
    <xf numFmtId="167" fontId="20" fillId="0" borderId="22" xfId="0" applyNumberFormat="1" applyFont="1" applyBorder="1" applyAlignment="1">
      <alignment horizontal="center"/>
    </xf>
    <xf numFmtId="164" fontId="19" fillId="6" borderId="19" xfId="2" applyNumberFormat="1" applyFont="1" applyFill="1" applyBorder="1" applyAlignment="1">
      <alignment horizontal="center" vertical="top"/>
    </xf>
    <xf numFmtId="0" fontId="20" fillId="6" borderId="61" xfId="0" applyFont="1" applyFill="1" applyBorder="1" applyAlignment="1">
      <alignment horizontal="center" vertical="center"/>
    </xf>
    <xf numFmtId="0" fontId="20" fillId="6" borderId="20" xfId="0" applyFont="1" applyFill="1" applyBorder="1" applyAlignment="1">
      <alignment horizontal="center" vertical="center"/>
    </xf>
    <xf numFmtId="0" fontId="20" fillId="6" borderId="51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 vertical="center"/>
    </xf>
    <xf numFmtId="0" fontId="20" fillId="6" borderId="0" xfId="0" applyFont="1" applyFill="1" applyAlignment="1">
      <alignment horizontal="center" vertical="center"/>
    </xf>
    <xf numFmtId="0" fontId="20" fillId="6" borderId="4" xfId="0" applyFont="1" applyFill="1" applyBorder="1" applyAlignment="1">
      <alignment horizontal="center" vertical="center"/>
    </xf>
    <xf numFmtId="0" fontId="20" fillId="6" borderId="31" xfId="0" applyFont="1" applyFill="1" applyBorder="1" applyAlignment="1">
      <alignment horizontal="center" vertical="center"/>
    </xf>
    <xf numFmtId="0" fontId="20" fillId="6" borderId="16" xfId="0" applyFont="1" applyFill="1" applyBorder="1" applyAlignment="1">
      <alignment horizontal="center" vertical="center"/>
    </xf>
    <xf numFmtId="0" fontId="20" fillId="6" borderId="25" xfId="0" applyFont="1" applyFill="1" applyBorder="1" applyAlignment="1">
      <alignment horizontal="center" vertical="center"/>
    </xf>
    <xf numFmtId="0" fontId="19" fillId="0" borderId="21" xfId="2" applyFont="1" applyBorder="1" applyAlignment="1">
      <alignment horizontal="center" vertical="top"/>
    </xf>
    <xf numFmtId="0" fontId="19" fillId="0" borderId="22" xfId="2" applyFont="1" applyBorder="1" applyAlignment="1">
      <alignment horizontal="center" vertical="top"/>
    </xf>
    <xf numFmtId="0" fontId="20" fillId="4" borderId="30" xfId="2" applyFont="1" applyFill="1" applyBorder="1" applyAlignment="1">
      <alignment horizontal="center" vertical="top"/>
    </xf>
    <xf numFmtId="0" fontId="20" fillId="4" borderId="33" xfId="2" applyFont="1" applyFill="1" applyBorder="1" applyAlignment="1">
      <alignment horizontal="center" vertical="top"/>
    </xf>
    <xf numFmtId="0" fontId="19" fillId="0" borderId="50" xfId="0" applyFont="1" applyBorder="1" applyAlignment="1">
      <alignment horizontal="center"/>
    </xf>
    <xf numFmtId="0" fontId="18" fillId="5" borderId="0" xfId="0" applyFont="1" applyFill="1" applyAlignment="1">
      <alignment horizontal="left" vertical="top" wrapText="1"/>
    </xf>
    <xf numFmtId="0" fontId="18" fillId="5" borderId="0" xfId="0" applyFont="1" applyFill="1" applyAlignment="1">
      <alignment horizontal="left" wrapText="1"/>
    </xf>
    <xf numFmtId="0" fontId="19" fillId="5" borderId="30" xfId="0" applyFont="1" applyFill="1" applyBorder="1" applyAlignment="1">
      <alignment horizontal="center" wrapText="1"/>
    </xf>
    <xf numFmtId="0" fontId="19" fillId="5" borderId="32" xfId="0" applyFont="1" applyFill="1" applyBorder="1" applyAlignment="1">
      <alignment horizontal="center" wrapText="1"/>
    </xf>
    <xf numFmtId="0" fontId="19" fillId="5" borderId="33" xfId="0" applyFont="1" applyFill="1" applyBorder="1" applyAlignment="1">
      <alignment horizontal="center" wrapText="1"/>
    </xf>
    <xf numFmtId="167" fontId="19" fillId="6" borderId="14" xfId="2" applyNumberFormat="1" applyFont="1" applyFill="1" applyBorder="1" applyAlignment="1">
      <alignment horizontal="center" vertical="top"/>
    </xf>
    <xf numFmtId="167" fontId="19" fillId="6" borderId="15" xfId="2" applyNumberFormat="1" applyFont="1" applyFill="1" applyBorder="1" applyAlignment="1">
      <alignment horizontal="center" vertical="top"/>
    </xf>
    <xf numFmtId="167" fontId="19" fillId="6" borderId="29" xfId="2" applyNumberFormat="1" applyFont="1" applyFill="1" applyBorder="1" applyAlignment="1">
      <alignment horizontal="center" vertical="top"/>
    </xf>
    <xf numFmtId="167" fontId="19" fillId="6" borderId="28" xfId="2" applyNumberFormat="1" applyFont="1" applyFill="1" applyBorder="1" applyAlignment="1">
      <alignment horizontal="center" vertical="top"/>
    </xf>
    <xf numFmtId="167" fontId="22" fillId="6" borderId="23" xfId="2" applyNumberFormat="1" applyFont="1" applyFill="1" applyBorder="1" applyAlignment="1">
      <alignment horizontal="center" vertical="top"/>
    </xf>
    <xf numFmtId="0" fontId="19" fillId="0" borderId="10" xfId="2" applyFont="1" applyBorder="1" applyAlignment="1">
      <alignment horizontal="center" vertical="top"/>
    </xf>
    <xf numFmtId="0" fontId="19" fillId="0" borderId="11" xfId="2" applyFont="1" applyBorder="1" applyAlignment="1">
      <alignment horizontal="center" vertical="top"/>
    </xf>
    <xf numFmtId="0" fontId="11" fillId="0" borderId="44" xfId="2" applyFont="1" applyBorder="1" applyAlignment="1" applyProtection="1">
      <alignment horizontal="right" vertical="center"/>
      <protection locked="0"/>
    </xf>
    <xf numFmtId="0" fontId="11" fillId="0" borderId="0" xfId="2" applyFont="1" applyAlignment="1" applyProtection="1">
      <alignment horizontal="right" vertical="center"/>
      <protection locked="0"/>
    </xf>
    <xf numFmtId="0" fontId="11" fillId="0" borderId="49" xfId="2" applyFont="1" applyBorder="1" applyAlignment="1" applyProtection="1">
      <alignment horizontal="right" vertical="center"/>
      <protection locked="0"/>
    </xf>
    <xf numFmtId="0" fontId="11" fillId="5" borderId="34" xfId="2" applyFont="1" applyFill="1" applyBorder="1" applyAlignment="1" applyProtection="1">
      <alignment horizontal="center" vertical="center"/>
      <protection locked="0"/>
    </xf>
    <xf numFmtId="0" fontId="11" fillId="5" borderId="41" xfId="2" applyFont="1" applyFill="1" applyBorder="1" applyAlignment="1" applyProtection="1">
      <alignment horizontal="center" vertical="center"/>
      <protection locked="0"/>
    </xf>
    <xf numFmtId="0" fontId="11" fillId="5" borderId="35" xfId="2" applyFont="1" applyFill="1" applyBorder="1" applyAlignment="1" applyProtection="1">
      <alignment horizontal="center" vertical="center"/>
      <protection locked="0"/>
    </xf>
    <xf numFmtId="0" fontId="39" fillId="7" borderId="0" xfId="0" applyFont="1" applyFill="1" applyAlignment="1" applyProtection="1">
      <alignment horizontal="center"/>
      <protection locked="0"/>
    </xf>
    <xf numFmtId="0" fontId="39" fillId="7" borderId="0" xfId="0" applyFont="1" applyFill="1" applyAlignment="1" applyProtection="1">
      <alignment horizontal="center" vertical="center"/>
      <protection locked="0"/>
    </xf>
    <xf numFmtId="0" fontId="39" fillId="7" borderId="43" xfId="0" applyFont="1" applyFill="1" applyBorder="1" applyAlignment="1" applyProtection="1">
      <alignment horizontal="center" vertical="center"/>
      <protection locked="0"/>
    </xf>
    <xf numFmtId="0" fontId="16" fillId="0" borderId="34" xfId="2" applyFont="1" applyBorder="1" applyAlignment="1" applyProtection="1">
      <alignment horizontal="right"/>
      <protection locked="0"/>
    </xf>
    <xf numFmtId="0" fontId="16" fillId="0" borderId="41" xfId="2" applyFont="1" applyBorder="1" applyAlignment="1" applyProtection="1">
      <alignment horizontal="right"/>
      <protection locked="0"/>
    </xf>
    <xf numFmtId="0" fontId="16" fillId="0" borderId="35" xfId="2" applyFont="1" applyBorder="1" applyAlignment="1" applyProtection="1">
      <alignment horizontal="right"/>
      <protection locked="0"/>
    </xf>
    <xf numFmtId="0" fontId="38" fillId="6" borderId="34" xfId="2" applyFont="1" applyFill="1" applyBorder="1" applyAlignment="1" applyProtection="1">
      <alignment horizontal="left"/>
      <protection locked="0"/>
    </xf>
    <xf numFmtId="0" fontId="38" fillId="6" borderId="41" xfId="2" applyFont="1" applyFill="1" applyBorder="1" applyAlignment="1" applyProtection="1">
      <alignment horizontal="left"/>
      <protection locked="0"/>
    </xf>
    <xf numFmtId="0" fontId="38" fillId="6" borderId="35" xfId="2" applyFont="1" applyFill="1" applyBorder="1" applyAlignment="1" applyProtection="1">
      <alignment horizontal="left"/>
      <protection locked="0"/>
    </xf>
    <xf numFmtId="0" fontId="6" fillId="0" borderId="34" xfId="0" applyFont="1" applyBorder="1" applyAlignment="1" applyProtection="1">
      <alignment horizontal="center"/>
      <protection locked="0"/>
    </xf>
    <xf numFmtId="0" fontId="6" fillId="0" borderId="41" xfId="0" applyFont="1" applyBorder="1" applyAlignment="1" applyProtection="1">
      <alignment horizontal="center"/>
      <protection locked="0"/>
    </xf>
    <xf numFmtId="0" fontId="6" fillId="0" borderId="35" xfId="0" applyFont="1" applyBorder="1" applyAlignment="1" applyProtection="1">
      <alignment horizontal="center"/>
      <protection locked="0"/>
    </xf>
    <xf numFmtId="0" fontId="6" fillId="0" borderId="44" xfId="0" applyFont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49" xfId="0" applyFont="1" applyBorder="1" applyAlignment="1" applyProtection="1">
      <alignment horizontal="center"/>
      <protection locked="0"/>
    </xf>
    <xf numFmtId="0" fontId="16" fillId="0" borderId="44" xfId="2" applyFont="1" applyBorder="1" applyAlignment="1" applyProtection="1">
      <alignment horizontal="right" vertical="center"/>
      <protection locked="0"/>
    </xf>
    <xf numFmtId="0" fontId="16" fillId="0" borderId="0" xfId="2" applyFont="1" applyAlignment="1" applyProtection="1">
      <alignment horizontal="right" vertical="center"/>
      <protection locked="0"/>
    </xf>
    <xf numFmtId="0" fontId="16" fillId="0" borderId="49" xfId="2" applyFont="1" applyBorder="1" applyAlignment="1" applyProtection="1">
      <alignment horizontal="right" vertical="center"/>
      <protection locked="0"/>
    </xf>
    <xf numFmtId="0" fontId="38" fillId="6" borderId="44" xfId="2" applyFont="1" applyFill="1" applyBorder="1" applyAlignment="1" applyProtection="1">
      <alignment horizontal="left" vertical="center"/>
      <protection locked="0"/>
    </xf>
    <xf numFmtId="0" fontId="38" fillId="6" borderId="0" xfId="2" applyFont="1" applyFill="1" applyAlignment="1" applyProtection="1">
      <alignment horizontal="left" vertical="center"/>
      <protection locked="0"/>
    </xf>
    <xf numFmtId="0" fontId="38" fillId="6" borderId="49" xfId="2" applyFont="1" applyFill="1" applyBorder="1" applyAlignment="1" applyProtection="1">
      <alignment horizontal="left" vertical="center"/>
      <protection locked="0"/>
    </xf>
    <xf numFmtId="0" fontId="15" fillId="0" borderId="44" xfId="2" applyFont="1" applyBorder="1" applyAlignment="1" applyProtection="1">
      <alignment horizontal="right" vertical="center"/>
      <protection locked="0"/>
    </xf>
    <xf numFmtId="0" fontId="15" fillId="0" borderId="0" xfId="2" applyFont="1" applyAlignment="1" applyProtection="1">
      <alignment horizontal="right" vertical="center"/>
      <protection locked="0"/>
    </xf>
    <xf numFmtId="0" fontId="15" fillId="0" borderId="49" xfId="2" applyFont="1" applyBorder="1" applyAlignment="1" applyProtection="1">
      <alignment horizontal="right" vertical="center"/>
      <protection locked="0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5" borderId="43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11" fillId="0" borderId="44" xfId="2" applyFont="1" applyBorder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/>
      <protection locked="0"/>
    </xf>
    <xf numFmtId="0" fontId="6" fillId="5" borderId="33" xfId="0" applyFont="1" applyFill="1" applyBorder="1" applyAlignment="1" applyProtection="1">
      <alignment horizontal="center"/>
      <protection locked="0"/>
    </xf>
    <xf numFmtId="167" fontId="13" fillId="6" borderId="30" xfId="2" applyNumberFormat="1" applyFont="1" applyFill="1" applyBorder="1" applyAlignment="1">
      <alignment horizontal="center" vertical="center"/>
    </xf>
    <xf numFmtId="167" fontId="13" fillId="6" borderId="33" xfId="2" applyNumberFormat="1" applyFont="1" applyFill="1" applyBorder="1" applyAlignment="1">
      <alignment horizontal="center" vertical="center"/>
    </xf>
    <xf numFmtId="0" fontId="12" fillId="0" borderId="36" xfId="2" applyFont="1" applyBorder="1" applyAlignment="1" applyProtection="1">
      <alignment horizontal="center"/>
      <protection locked="0"/>
    </xf>
    <xf numFmtId="0" fontId="12" fillId="0" borderId="43" xfId="2" applyFont="1" applyBorder="1" applyAlignment="1" applyProtection="1">
      <alignment horizontal="center"/>
      <protection locked="0"/>
    </xf>
    <xf numFmtId="0" fontId="40" fillId="7" borderId="0" xfId="0" applyFont="1" applyFill="1" applyAlignment="1">
      <alignment horizontal="center"/>
    </xf>
    <xf numFmtId="0" fontId="19" fillId="0" borderId="34" xfId="0" applyFont="1" applyBorder="1" applyAlignment="1">
      <alignment horizontal="right"/>
    </xf>
    <xf numFmtId="0" fontId="19" fillId="0" borderId="35" xfId="0" applyFont="1" applyBorder="1" applyAlignment="1">
      <alignment horizontal="right"/>
    </xf>
    <xf numFmtId="0" fontId="19" fillId="0" borderId="44" xfId="0" applyFont="1" applyBorder="1" applyAlignment="1">
      <alignment horizontal="right"/>
    </xf>
    <xf numFmtId="0" fontId="19" fillId="0" borderId="49" xfId="0" applyFont="1" applyBorder="1" applyAlignment="1">
      <alignment horizontal="right"/>
    </xf>
    <xf numFmtId="0" fontId="19" fillId="0" borderId="36" xfId="0" applyFont="1" applyBorder="1" applyAlignment="1">
      <alignment horizontal="right"/>
    </xf>
    <xf numFmtId="0" fontId="19" fillId="0" borderId="37" xfId="0" applyFont="1" applyBorder="1" applyAlignment="1">
      <alignment horizontal="right"/>
    </xf>
    <xf numFmtId="0" fontId="20" fillId="6" borderId="37" xfId="0" applyFont="1" applyFill="1" applyBorder="1" applyAlignment="1">
      <alignment horizontal="left"/>
    </xf>
    <xf numFmtId="0" fontId="25" fillId="3" borderId="0" xfId="0" applyFont="1" applyFill="1" applyAlignment="1">
      <alignment horizontal="left" wrapText="1"/>
    </xf>
    <xf numFmtId="165" fontId="0" fillId="10" borderId="6" xfId="11" applyNumberFormat="1" applyFont="1" applyFill="1" applyBorder="1" applyAlignment="1">
      <alignment horizontal="center"/>
    </xf>
    <xf numFmtId="165" fontId="43" fillId="0" borderId="0" xfId="11" applyNumberFormat="1" applyFont="1" applyFill="1" applyAlignment="1">
      <alignment horizontal="center"/>
    </xf>
    <xf numFmtId="0" fontId="41" fillId="10" borderId="6" xfId="9" applyFill="1" applyBorder="1" applyAlignment="1">
      <alignment horizontal="center"/>
    </xf>
    <xf numFmtId="0" fontId="41" fillId="0" borderId="0" xfId="9" applyAlignment="1">
      <alignment horizontal="center"/>
    </xf>
    <xf numFmtId="165" fontId="43" fillId="0" borderId="0" xfId="11" applyNumberFormat="1" applyFont="1" applyAlignment="1">
      <alignment horizontal="center"/>
    </xf>
    <xf numFmtId="165" fontId="8" fillId="0" borderId="6" xfId="9" applyNumberFormat="1" applyFont="1" applyBorder="1" applyAlignment="1">
      <alignment horizontal="center"/>
    </xf>
  </cellXfs>
  <cellStyles count="19">
    <cellStyle name="Comma" xfId="8" builtinId="3"/>
    <cellStyle name="Comma 2" xfId="4" xr:uid="{A9B96B49-5749-4F79-9A58-9B4ED202243C}"/>
    <cellStyle name="Comma 3" xfId="6" xr:uid="{3E37829D-7E6B-4390-88B9-BC245E4F5C89}"/>
    <cellStyle name="Comma 4" xfId="10" xr:uid="{507DC2E9-0883-4FE9-9606-2FD4653F3CD4}"/>
    <cellStyle name="Comma 5" xfId="14" xr:uid="{B8AE5F6A-3927-4532-9403-09B53988A120}"/>
    <cellStyle name="Currency" xfId="1" builtinId="4"/>
    <cellStyle name="Currency 2" xfId="5" xr:uid="{B11F78BB-E5CE-4488-B02C-A942080D0852}"/>
    <cellStyle name="Currency 3" xfId="11" xr:uid="{D05FB749-879D-4567-A1A4-17BE358E3968}"/>
    <cellStyle name="Currency 4" xfId="13" xr:uid="{4F47161A-D54D-4E16-A742-DA6E8BF72E5E}"/>
    <cellStyle name="Currency 5" xfId="18" xr:uid="{C98AE434-AEB4-439B-BD94-C37E942EBE0D}"/>
    <cellStyle name="Normal" xfId="0" builtinId="0"/>
    <cellStyle name="Normal 2" xfId="2" xr:uid="{00000000-0005-0000-0000-000003000000}"/>
    <cellStyle name="Normal 3" xfId="3" xr:uid="{D8674B0D-83F2-4587-A845-8A529B2F4FC8}"/>
    <cellStyle name="Normal 4" xfId="7" xr:uid="{717D1CB5-5F87-4539-A6CD-0D454A5CBCC8}"/>
    <cellStyle name="Normal 5" xfId="9" xr:uid="{29B450AE-B981-44EF-91D6-5C4EB9ADC787}"/>
    <cellStyle name="Normal 6" xfId="12" xr:uid="{0FBC0BEC-7DAF-4A54-A839-EF57FDE01C2C}"/>
    <cellStyle name="Normal 7" xfId="16" xr:uid="{A7711398-603E-45D2-A0A2-676E43EBBD6F}"/>
    <cellStyle name="Normal 8" xfId="17" xr:uid="{F0BE1FA1-A02F-45A6-ACEC-0267DD2B80E4}"/>
    <cellStyle name="Percent 2" xfId="15" xr:uid="{C6EC4369-6CE0-498F-BF45-6D4ACD6D4608}"/>
  </cellStyles>
  <dxfs count="16">
    <dxf>
      <font>
        <strike val="0"/>
        <condense val="0"/>
        <extend val="0"/>
        <color indexed="9"/>
      </font>
    </dxf>
    <dxf>
      <font>
        <strike val="0"/>
        <condense val="0"/>
        <extend val="0"/>
        <color indexed="9"/>
      </font>
    </dxf>
    <dxf>
      <font>
        <strike val="0"/>
        <condense val="0"/>
        <extend val="0"/>
        <color indexed="9"/>
      </font>
    </dxf>
    <dxf>
      <font>
        <strike val="0"/>
        <condense val="0"/>
        <extend val="0"/>
        <color indexed="9"/>
      </font>
    </dxf>
    <dxf>
      <font>
        <strike val="0"/>
        <condense val="0"/>
        <extend val="0"/>
        <color indexed="9"/>
      </font>
    </dxf>
    <dxf>
      <font>
        <strike val="0"/>
        <condense val="0"/>
        <extend val="0"/>
        <color indexed="9"/>
      </font>
    </dxf>
    <dxf>
      <font>
        <strike val="0"/>
        <condense val="0"/>
        <extend val="0"/>
        <color indexed="9"/>
      </font>
    </dxf>
    <dxf>
      <font>
        <strike val="0"/>
        <condense val="0"/>
        <extend val="0"/>
        <color indexed="9"/>
      </font>
    </dxf>
    <dxf>
      <font>
        <strike val="0"/>
        <condense val="0"/>
        <extend val="0"/>
        <color indexed="9"/>
      </font>
    </dxf>
    <dxf>
      <font>
        <strike val="0"/>
        <condense val="0"/>
        <extend val="0"/>
        <color indexed="9"/>
      </font>
    </dxf>
    <dxf>
      <font>
        <strike val="0"/>
        <condense val="0"/>
        <extend val="0"/>
        <color indexed="9"/>
      </font>
    </dxf>
    <dxf>
      <font>
        <strike val="0"/>
        <condense val="0"/>
        <extend val="0"/>
        <color indexed="9"/>
      </font>
    </dxf>
    <dxf>
      <font>
        <strike val="0"/>
        <condense val="0"/>
        <extend val="0"/>
        <color indexed="9"/>
      </font>
    </dxf>
    <dxf>
      <font>
        <strike val="0"/>
        <condense val="0"/>
        <extend val="0"/>
        <color indexed="9"/>
      </font>
    </dxf>
    <dxf>
      <font>
        <strike val="0"/>
        <condense val="0"/>
        <extend val="0"/>
        <color indexed="9"/>
      </font>
    </dxf>
    <dxf>
      <font>
        <strike val="0"/>
        <condense val="0"/>
        <extend val="0"/>
        <color indexed="9"/>
      </font>
    </dxf>
  </dxfs>
  <tableStyles count="0" defaultTableStyle="TableStyleMedium2" defaultPivotStyle="PivotStyleLight16"/>
  <colors>
    <mruColors>
      <color rgb="FFFFFFFF"/>
      <color rgb="FFD6EDBD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townofwindsor.sharepoint.com/sites/FinDiv/Shared%20Documents/Finance%20Manager/Fees/Development%20Impact%20Fees/FY2026-27/FY2026-27%20Development%20Fee%20Workbook%20-%20Internal.xlsx" TargetMode="External"/><Relationship Id="rId1" Type="http://schemas.openxmlformats.org/officeDocument/2006/relationships/externalLinkPath" Target="FY2026-27%20Development%20Fee%20Workbook%20-%20Inter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 Sheet"/>
      <sheetName val="Summary Sheet"/>
      <sheetName val="Public Works"/>
      <sheetName val="Parks &amp; Rec"/>
      <sheetName val="Police"/>
      <sheetName val="Fire"/>
      <sheetName val="WUSD"/>
      <sheetName val="Housing In-Lieu "/>
      <sheetName val="Tree Mitigation"/>
      <sheetName val="Engineering Service Fees"/>
      <sheetName val="FY26-27 FEE Worksheet"/>
      <sheetName val="Sheet1"/>
    </sheetNames>
    <sheetDataSet>
      <sheetData sheetId="0">
        <row r="5">
          <cell r="B5"/>
        </row>
        <row r="6">
          <cell r="B6"/>
        </row>
        <row r="7">
          <cell r="B7"/>
        </row>
        <row r="8">
          <cell r="B8"/>
        </row>
        <row r="9">
          <cell r="B9"/>
        </row>
        <row r="11">
          <cell r="B11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Kristina Owens" id="{5BFA3982-7D4D-462D-BF3F-C47A81CC8887}" userId="S::kowens@townofwindsor.com::2f6ff4be-4abb-4bf4-998f-eb5b63b666dd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14" dT="2020-06-15T23:17:40.96" personId="{5BFA3982-7D4D-462D-BF3F-C47A81CC8887}" id="{7C0CE3F6-1B71-4DCB-AA02-C8C85F80C83D}">
    <text>JP - Do you have the Consultant Report to determine "construction, land acq. and facilites" costs that are hard coded for each section?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59B4E-047A-4E5D-8662-46B1E2714B00}">
  <sheetPr>
    <tabColor theme="3" tint="0.79998168889431442"/>
    <pageSetUpPr fitToPage="1"/>
  </sheetPr>
  <dimension ref="A1:C97"/>
  <sheetViews>
    <sheetView zoomScale="70" zoomScaleNormal="70" workbookViewId="0">
      <selection activeCell="B26" sqref="B26"/>
    </sheetView>
  </sheetViews>
  <sheetFormatPr defaultColWidth="9.33203125" defaultRowHeight="15.6"/>
  <cols>
    <col min="1" max="1" width="60.109375" style="46" customWidth="1"/>
    <col min="2" max="2" width="25.6640625" style="66" customWidth="1"/>
    <col min="3" max="3" width="132.77734375" style="68" customWidth="1"/>
    <col min="4" max="16384" width="9.33203125" style="46"/>
  </cols>
  <sheetData>
    <row r="1" spans="1:3" s="45" customFormat="1" ht="51" customHeight="1">
      <c r="A1" s="547" t="s">
        <v>0</v>
      </c>
      <c r="B1" s="548"/>
      <c r="C1" s="549"/>
    </row>
    <row r="2" spans="1:3" s="45" customFormat="1" ht="51" customHeight="1" thickBot="1">
      <c r="A2" s="553" t="s">
        <v>1</v>
      </c>
      <c r="B2" s="554"/>
      <c r="C2" s="555"/>
    </row>
    <row r="3" spans="1:3" s="45" customFormat="1" ht="9.75" customHeight="1">
      <c r="A3" s="72"/>
      <c r="B3" s="72"/>
      <c r="C3" s="72"/>
    </row>
    <row r="4" spans="1:3" ht="18.600000000000001" thickBot="1">
      <c r="A4" s="550" t="s">
        <v>2</v>
      </c>
      <c r="B4" s="551"/>
      <c r="C4" s="552"/>
    </row>
    <row r="5" spans="1:3" ht="20.100000000000001" customHeight="1">
      <c r="A5" s="73" t="s">
        <v>3</v>
      </c>
      <c r="B5" s="556"/>
      <c r="C5" s="557"/>
    </row>
    <row r="6" spans="1:3" ht="20.100000000000001" customHeight="1">
      <c r="A6" s="73" t="s">
        <v>4</v>
      </c>
      <c r="B6" s="558"/>
      <c r="C6" s="559"/>
    </row>
    <row r="7" spans="1:3" ht="20.100000000000001" customHeight="1">
      <c r="A7" s="73" t="s">
        <v>5</v>
      </c>
      <c r="B7" s="558"/>
      <c r="C7" s="559"/>
    </row>
    <row r="8" spans="1:3" ht="20.100000000000001" customHeight="1">
      <c r="A8" s="73" t="s">
        <v>6</v>
      </c>
      <c r="B8" s="47"/>
      <c r="C8" s="72"/>
    </row>
    <row r="9" spans="1:3" ht="20.100000000000001" customHeight="1">
      <c r="A9" s="73" t="s">
        <v>7</v>
      </c>
      <c r="B9" s="48"/>
      <c r="C9" s="72"/>
    </row>
    <row r="10" spans="1:3" ht="20.100000000000001" customHeight="1">
      <c r="A10" s="73" t="s">
        <v>8</v>
      </c>
      <c r="B10" s="48"/>
      <c r="C10" s="72"/>
    </row>
    <row r="11" spans="1:3" ht="20.100000000000001" customHeight="1" thickBot="1">
      <c r="A11" s="73" t="s">
        <v>9</v>
      </c>
      <c r="B11" s="49"/>
      <c r="C11" s="72"/>
    </row>
    <row r="12" spans="1:3" ht="18.600000000000001" thickBot="1">
      <c r="A12" s="569" t="s">
        <v>10</v>
      </c>
      <c r="B12" s="570"/>
      <c r="C12" s="74" t="s">
        <v>11</v>
      </c>
    </row>
    <row r="13" spans="1:3" ht="20.100000000000001" customHeight="1">
      <c r="A13" s="75" t="s">
        <v>12</v>
      </c>
      <c r="B13" s="101">
        <f>SUM(B14:B15)</f>
        <v>0</v>
      </c>
      <c r="C13" s="77" t="s">
        <v>13</v>
      </c>
    </row>
    <row r="14" spans="1:3" ht="20.100000000000001" customHeight="1">
      <c r="A14" s="79" t="s">
        <v>14</v>
      </c>
      <c r="B14" s="50"/>
      <c r="C14" s="77"/>
    </row>
    <row r="15" spans="1:3" ht="20.100000000000001" customHeight="1">
      <c r="A15" s="99" t="s">
        <v>15</v>
      </c>
      <c r="B15" s="51">
        <v>0</v>
      </c>
      <c r="C15" s="77" t="s">
        <v>16</v>
      </c>
    </row>
    <row r="16" spans="1:3" ht="20.100000000000001" customHeight="1">
      <c r="A16" s="76" t="s">
        <v>17</v>
      </c>
      <c r="B16" s="51"/>
      <c r="C16" s="77" t="s">
        <v>18</v>
      </c>
    </row>
    <row r="17" spans="1:3" ht="31.2">
      <c r="A17" s="75" t="s">
        <v>19</v>
      </c>
      <c r="B17" s="51"/>
      <c r="C17" s="78" t="s">
        <v>20</v>
      </c>
    </row>
    <row r="18" spans="1:3" ht="20.100000000000001" customHeight="1">
      <c r="A18" s="76" t="s">
        <v>21</v>
      </c>
      <c r="B18" s="51">
        <v>0</v>
      </c>
      <c r="C18" s="77" t="s">
        <v>18</v>
      </c>
    </row>
    <row r="19" spans="1:3" ht="19.5" customHeight="1">
      <c r="A19" s="75" t="s">
        <v>22</v>
      </c>
      <c r="B19" s="51">
        <v>0</v>
      </c>
      <c r="C19" s="77" t="s">
        <v>23</v>
      </c>
    </row>
    <row r="20" spans="1:3" ht="20.100000000000001" customHeight="1">
      <c r="A20" s="100" t="s">
        <v>24</v>
      </c>
      <c r="B20" s="51">
        <v>0</v>
      </c>
      <c r="C20" s="77" t="s">
        <v>25</v>
      </c>
    </row>
    <row r="21" spans="1:3" ht="20.100000000000001" customHeight="1">
      <c r="A21" s="75" t="s">
        <v>26</v>
      </c>
      <c r="B21" s="51">
        <v>0</v>
      </c>
      <c r="C21" s="77"/>
    </row>
    <row r="22" spans="1:3" ht="22.5" customHeight="1" thickBot="1">
      <c r="A22" s="76" t="s">
        <v>27</v>
      </c>
      <c r="B22" s="52">
        <v>0</v>
      </c>
      <c r="C22" s="77" t="s">
        <v>18</v>
      </c>
    </row>
    <row r="23" spans="1:3" ht="18.600000000000001" thickBot="1">
      <c r="A23" s="569" t="s">
        <v>28</v>
      </c>
      <c r="B23" s="570"/>
      <c r="C23" s="74" t="s">
        <v>11</v>
      </c>
    </row>
    <row r="24" spans="1:3" ht="20.100000000000001" customHeight="1">
      <c r="A24" s="75" t="s">
        <v>29</v>
      </c>
      <c r="B24" s="53"/>
      <c r="C24" s="560" t="s">
        <v>30</v>
      </c>
    </row>
    <row r="25" spans="1:3" ht="20.100000000000001" customHeight="1">
      <c r="A25" s="75" t="s">
        <v>31</v>
      </c>
      <c r="B25" s="51"/>
      <c r="C25" s="561"/>
    </row>
    <row r="26" spans="1:3" ht="20.100000000000001" customHeight="1">
      <c r="A26" s="75" t="s">
        <v>32</v>
      </c>
      <c r="B26" s="51"/>
      <c r="C26" s="561"/>
    </row>
    <row r="27" spans="1:3" ht="20.100000000000001" customHeight="1">
      <c r="A27" s="75" t="s">
        <v>33</v>
      </c>
      <c r="B27" s="51"/>
      <c r="C27" s="561"/>
    </row>
    <row r="28" spans="1:3" ht="20.100000000000001" customHeight="1">
      <c r="A28" s="75" t="s">
        <v>34</v>
      </c>
      <c r="B28" s="51"/>
      <c r="C28" s="561"/>
    </row>
    <row r="29" spans="1:3" ht="20.100000000000001" customHeight="1">
      <c r="A29" s="75" t="s">
        <v>35</v>
      </c>
      <c r="B29" s="51"/>
      <c r="C29" s="561"/>
    </row>
    <row r="30" spans="1:3" ht="20.100000000000001" customHeight="1" thickBot="1">
      <c r="A30" s="75" t="s">
        <v>36</v>
      </c>
      <c r="B30" s="54"/>
      <c r="C30" s="562"/>
    </row>
    <row r="31" spans="1:3" ht="18.600000000000001" thickBot="1">
      <c r="A31" s="550" t="s">
        <v>37</v>
      </c>
      <c r="B31" s="570"/>
      <c r="C31" s="74" t="s">
        <v>11</v>
      </c>
    </row>
    <row r="32" spans="1:3" ht="20.100000000000001" customHeight="1">
      <c r="A32" s="75" t="s">
        <v>38</v>
      </c>
      <c r="B32" s="55"/>
      <c r="C32" s="72" t="s">
        <v>39</v>
      </c>
    </row>
    <row r="33" spans="1:3" ht="20.100000000000001" customHeight="1">
      <c r="A33" s="75" t="s">
        <v>40</v>
      </c>
      <c r="B33" s="56"/>
      <c r="C33" s="72" t="s">
        <v>41</v>
      </c>
    </row>
    <row r="34" spans="1:3" ht="20.100000000000001" customHeight="1">
      <c r="A34" s="75" t="s">
        <v>42</v>
      </c>
      <c r="B34" s="56"/>
      <c r="C34" s="563" t="s">
        <v>43</v>
      </c>
    </row>
    <row r="35" spans="1:3" ht="20.100000000000001" customHeight="1" thickBot="1">
      <c r="A35" s="75" t="s">
        <v>44</v>
      </c>
      <c r="B35" s="57"/>
      <c r="C35" s="564"/>
    </row>
    <row r="36" spans="1:3" ht="18.600000000000001" thickBot="1">
      <c r="A36" s="569" t="s">
        <v>45</v>
      </c>
      <c r="B36" s="570"/>
      <c r="C36" s="74" t="s">
        <v>11</v>
      </c>
    </row>
    <row r="37" spans="1:3" ht="20.100000000000001" customHeight="1">
      <c r="A37" s="75" t="s">
        <v>46</v>
      </c>
      <c r="B37" s="55"/>
      <c r="C37" s="565"/>
    </row>
    <row r="38" spans="1:3" ht="20.100000000000001" customHeight="1">
      <c r="A38" s="75" t="s">
        <v>47</v>
      </c>
      <c r="B38" s="56"/>
      <c r="C38" s="566"/>
    </row>
    <row r="39" spans="1:3" ht="20.100000000000001" customHeight="1">
      <c r="A39" s="75" t="s">
        <v>48</v>
      </c>
      <c r="B39" s="56"/>
      <c r="C39" s="566"/>
    </row>
    <row r="40" spans="1:3" ht="20.100000000000001" customHeight="1">
      <c r="A40" s="75" t="s">
        <v>49</v>
      </c>
      <c r="B40" s="56"/>
      <c r="C40" s="566"/>
    </row>
    <row r="41" spans="1:3" ht="20.100000000000001" customHeight="1">
      <c r="A41" s="75" t="s">
        <v>50</v>
      </c>
      <c r="B41" s="56"/>
      <c r="C41" s="566"/>
    </row>
    <row r="42" spans="1:3" ht="20.100000000000001" customHeight="1">
      <c r="A42" s="75" t="s">
        <v>51</v>
      </c>
      <c r="B42" s="56"/>
      <c r="C42" s="566"/>
    </row>
    <row r="43" spans="1:3" ht="20.100000000000001" customHeight="1" thickBot="1">
      <c r="A43" s="75" t="s">
        <v>52</v>
      </c>
      <c r="B43" s="57"/>
      <c r="C43" s="567"/>
    </row>
    <row r="44" spans="1:3" ht="18.600000000000001" thickBot="1">
      <c r="A44" s="569" t="s">
        <v>53</v>
      </c>
      <c r="B44" s="570"/>
      <c r="C44" s="74" t="s">
        <v>11</v>
      </c>
    </row>
    <row r="45" spans="1:3" ht="20.100000000000001" customHeight="1">
      <c r="A45" s="75" t="s">
        <v>42</v>
      </c>
      <c r="B45" s="58"/>
      <c r="C45" s="97"/>
    </row>
    <row r="46" spans="1:3" ht="20.100000000000001" customHeight="1">
      <c r="A46" s="75" t="s">
        <v>44</v>
      </c>
      <c r="B46" s="59"/>
      <c r="C46" s="41"/>
    </row>
    <row r="47" spans="1:3" ht="20.100000000000001" customHeight="1" thickBot="1">
      <c r="A47" s="75" t="s">
        <v>54</v>
      </c>
      <c r="B47" s="59"/>
      <c r="C47" s="98" t="s">
        <v>55</v>
      </c>
    </row>
    <row r="48" spans="1:3" ht="18.600000000000001" thickBot="1">
      <c r="A48" s="569" t="s">
        <v>56</v>
      </c>
      <c r="B48" s="570"/>
      <c r="C48" s="74" t="s">
        <v>11</v>
      </c>
    </row>
    <row r="49" spans="1:3" ht="20.100000000000001" customHeight="1">
      <c r="A49" s="75" t="s">
        <v>42</v>
      </c>
      <c r="B49" s="58"/>
      <c r="C49" s="568" t="s">
        <v>57</v>
      </c>
    </row>
    <row r="50" spans="1:3" ht="20.100000000000001" customHeight="1" thickBot="1">
      <c r="A50" s="75" t="s">
        <v>44</v>
      </c>
      <c r="B50" s="60"/>
      <c r="C50" s="564"/>
    </row>
    <row r="51" spans="1:3" ht="18.600000000000001" thickBot="1">
      <c r="A51" s="569" t="s">
        <v>58</v>
      </c>
      <c r="B51" s="570"/>
      <c r="C51" s="74" t="s">
        <v>11</v>
      </c>
    </row>
    <row r="52" spans="1:3" ht="20.100000000000001" customHeight="1">
      <c r="A52" s="75" t="s">
        <v>46</v>
      </c>
      <c r="B52" s="58"/>
      <c r="C52" s="565"/>
    </row>
    <row r="53" spans="1:3" ht="20.100000000000001" customHeight="1">
      <c r="A53" s="75" t="s">
        <v>47</v>
      </c>
      <c r="B53" s="59"/>
      <c r="C53" s="566"/>
    </row>
    <row r="54" spans="1:3" ht="20.100000000000001" customHeight="1">
      <c r="A54" s="75" t="s">
        <v>48</v>
      </c>
      <c r="B54" s="59"/>
      <c r="C54" s="566"/>
    </row>
    <row r="55" spans="1:3" ht="20.100000000000001" customHeight="1" thickBot="1">
      <c r="A55" s="75" t="s">
        <v>49</v>
      </c>
      <c r="B55" s="60"/>
      <c r="C55" s="567"/>
    </row>
    <row r="56" spans="1:3" ht="18.600000000000001" thickBot="1">
      <c r="A56" s="569" t="s">
        <v>59</v>
      </c>
      <c r="B56" s="570"/>
      <c r="C56" s="74" t="s">
        <v>11</v>
      </c>
    </row>
    <row r="57" spans="1:3" ht="20.100000000000001" customHeight="1">
      <c r="A57" s="573" t="s">
        <v>46</v>
      </c>
      <c r="B57" s="574"/>
      <c r="C57" s="565"/>
    </row>
    <row r="58" spans="1:3" ht="20.100000000000001" customHeight="1">
      <c r="A58" s="79" t="s">
        <v>60</v>
      </c>
      <c r="B58" s="59"/>
      <c r="C58" s="566"/>
    </row>
    <row r="59" spans="1:3" ht="20.100000000000001" customHeight="1">
      <c r="A59" s="79" t="s">
        <v>61</v>
      </c>
      <c r="B59" s="59"/>
      <c r="C59" s="566"/>
    </row>
    <row r="60" spans="1:3" ht="20.100000000000001" customHeight="1">
      <c r="A60" s="79" t="s">
        <v>62</v>
      </c>
      <c r="B60" s="59"/>
      <c r="C60" s="566"/>
    </row>
    <row r="61" spans="1:3" ht="20.100000000000001" customHeight="1">
      <c r="A61" s="545" t="s">
        <v>47</v>
      </c>
      <c r="B61" s="546"/>
      <c r="C61" s="566"/>
    </row>
    <row r="62" spans="1:3" ht="20.100000000000001" customHeight="1">
      <c r="A62" s="79" t="s">
        <v>60</v>
      </c>
      <c r="B62" s="59"/>
      <c r="C62" s="566"/>
    </row>
    <row r="63" spans="1:3" ht="20.100000000000001" customHeight="1">
      <c r="A63" s="79" t="s">
        <v>61</v>
      </c>
      <c r="B63" s="61"/>
      <c r="C63" s="566"/>
    </row>
    <row r="64" spans="1:3" ht="20.100000000000001" customHeight="1">
      <c r="A64" s="79" t="s">
        <v>62</v>
      </c>
      <c r="B64" s="59"/>
      <c r="C64" s="566"/>
    </row>
    <row r="65" spans="1:3" ht="20.100000000000001" customHeight="1">
      <c r="A65" s="545" t="s">
        <v>48</v>
      </c>
      <c r="B65" s="546"/>
      <c r="C65" s="566"/>
    </row>
    <row r="66" spans="1:3" ht="20.100000000000001" customHeight="1">
      <c r="A66" s="79" t="s">
        <v>60</v>
      </c>
      <c r="B66" s="59"/>
      <c r="C66" s="566"/>
    </row>
    <row r="67" spans="1:3" ht="20.100000000000001" customHeight="1">
      <c r="A67" s="79" t="s">
        <v>61</v>
      </c>
      <c r="B67" s="61"/>
      <c r="C67" s="566"/>
    </row>
    <row r="68" spans="1:3" ht="20.100000000000001" customHeight="1">
      <c r="A68" s="79" t="s">
        <v>62</v>
      </c>
      <c r="B68" s="59"/>
      <c r="C68" s="566"/>
    </row>
    <row r="69" spans="1:3" ht="20.100000000000001" customHeight="1">
      <c r="A69" s="545" t="s">
        <v>49</v>
      </c>
      <c r="B69" s="546"/>
      <c r="C69" s="566"/>
    </row>
    <row r="70" spans="1:3" ht="20.100000000000001" customHeight="1">
      <c r="A70" s="79" t="s">
        <v>60</v>
      </c>
      <c r="B70" s="59"/>
      <c r="C70" s="566"/>
    </row>
    <row r="71" spans="1:3" ht="20.100000000000001" customHeight="1">
      <c r="A71" s="79" t="s">
        <v>61</v>
      </c>
      <c r="B71" s="61"/>
      <c r="C71" s="566"/>
    </row>
    <row r="72" spans="1:3" ht="20.100000000000001" customHeight="1">
      <c r="A72" s="79" t="s">
        <v>62</v>
      </c>
      <c r="B72" s="59"/>
      <c r="C72" s="566"/>
    </row>
    <row r="73" spans="1:3" ht="20.100000000000001" customHeight="1">
      <c r="A73" s="545" t="s">
        <v>50</v>
      </c>
      <c r="B73" s="546"/>
      <c r="C73" s="566"/>
    </row>
    <row r="74" spans="1:3" ht="20.100000000000001" customHeight="1">
      <c r="A74" s="79" t="s">
        <v>60</v>
      </c>
      <c r="B74" s="59"/>
      <c r="C74" s="566"/>
    </row>
    <row r="75" spans="1:3" ht="20.100000000000001" customHeight="1">
      <c r="A75" s="79" t="s">
        <v>61</v>
      </c>
      <c r="B75" s="59"/>
      <c r="C75" s="566"/>
    </row>
    <row r="76" spans="1:3" ht="20.100000000000001" customHeight="1">
      <c r="A76" s="79" t="s">
        <v>62</v>
      </c>
      <c r="B76" s="59"/>
      <c r="C76" s="566"/>
    </row>
    <row r="77" spans="1:3" ht="20.100000000000001" customHeight="1">
      <c r="A77" s="545" t="s">
        <v>51</v>
      </c>
      <c r="B77" s="546"/>
      <c r="C77" s="566"/>
    </row>
    <row r="78" spans="1:3" ht="20.100000000000001" customHeight="1">
      <c r="A78" s="79" t="s">
        <v>60</v>
      </c>
      <c r="B78" s="59"/>
      <c r="C78" s="566"/>
    </row>
    <row r="79" spans="1:3" ht="20.100000000000001" customHeight="1">
      <c r="A79" s="79" t="s">
        <v>61</v>
      </c>
      <c r="B79" s="61"/>
      <c r="C79" s="566"/>
    </row>
    <row r="80" spans="1:3" ht="20.100000000000001" customHeight="1">
      <c r="A80" s="79" t="s">
        <v>62</v>
      </c>
      <c r="B80" s="59"/>
      <c r="C80" s="566"/>
    </row>
    <row r="81" spans="1:3" ht="20.100000000000001" customHeight="1">
      <c r="A81" s="545" t="s">
        <v>52</v>
      </c>
      <c r="B81" s="546"/>
      <c r="C81" s="566"/>
    </row>
    <row r="82" spans="1:3" ht="20.100000000000001" customHeight="1">
      <c r="A82" s="79" t="s">
        <v>60</v>
      </c>
      <c r="B82" s="59"/>
      <c r="C82" s="566"/>
    </row>
    <row r="83" spans="1:3" ht="20.100000000000001" customHeight="1">
      <c r="A83" s="79" t="s">
        <v>61</v>
      </c>
      <c r="B83" s="61"/>
      <c r="C83" s="566"/>
    </row>
    <row r="84" spans="1:3" ht="20.100000000000001" customHeight="1" thickBot="1">
      <c r="A84" s="79" t="s">
        <v>62</v>
      </c>
      <c r="B84" s="60"/>
      <c r="C84" s="567"/>
    </row>
    <row r="85" spans="1:3" ht="34.5" customHeight="1" thickBot="1">
      <c r="A85" s="571" t="s">
        <v>63</v>
      </c>
      <c r="B85" s="572"/>
      <c r="C85" s="74" t="s">
        <v>11</v>
      </c>
    </row>
    <row r="86" spans="1:3">
      <c r="A86" s="575" t="s">
        <v>64</v>
      </c>
      <c r="B86" s="575"/>
      <c r="C86" s="575"/>
    </row>
    <row r="87" spans="1:3" ht="20.100000000000001" customHeight="1">
      <c r="A87" s="332" t="s">
        <v>65</v>
      </c>
      <c r="B87" s="62"/>
      <c r="C87" s="72"/>
    </row>
    <row r="88" spans="1:3" ht="20.100000000000001" customHeight="1">
      <c r="A88" s="332" t="s">
        <v>66</v>
      </c>
      <c r="B88" s="62"/>
      <c r="C88" s="72" t="s">
        <v>67</v>
      </c>
    </row>
    <row r="89" spans="1:3" ht="20.100000000000001" customHeight="1" thickBot="1">
      <c r="A89" s="332" t="s">
        <v>68</v>
      </c>
      <c r="B89" s="63"/>
      <c r="C89" s="72" t="s">
        <v>67</v>
      </c>
    </row>
    <row r="90" spans="1:3" ht="18.600000000000001" thickBot="1">
      <c r="A90" s="569" t="s">
        <v>69</v>
      </c>
      <c r="B90" s="570"/>
      <c r="C90" s="74" t="s">
        <v>11</v>
      </c>
    </row>
    <row r="91" spans="1:3" ht="20.100000000000001" customHeight="1">
      <c r="A91" s="332" t="s">
        <v>70</v>
      </c>
      <c r="B91" s="64"/>
      <c r="C91" s="72"/>
    </row>
    <row r="92" spans="1:3" ht="20.100000000000001" customHeight="1">
      <c r="A92" s="332" t="s">
        <v>71</v>
      </c>
      <c r="B92" s="65"/>
      <c r="C92" s="72" t="s">
        <v>72</v>
      </c>
    </row>
    <row r="93" spans="1:3" ht="31.2">
      <c r="A93" s="332" t="s">
        <v>73</v>
      </c>
      <c r="B93" s="65"/>
      <c r="C93" s="80" t="s">
        <v>74</v>
      </c>
    </row>
    <row r="94" spans="1:3" ht="20.100000000000001" customHeight="1">
      <c r="A94" s="332" t="s">
        <v>75</v>
      </c>
      <c r="B94" s="56"/>
      <c r="C94" s="72"/>
    </row>
    <row r="97" spans="3:3">
      <c r="C97" s="67"/>
    </row>
  </sheetData>
  <sheetProtection algorithmName="SHA-512" hashValue="T3QGdImJ9/EVaXl391uhjfr4/aLhUPFxVHlMX1FCTPEsFz/fW730EQVQhSDA80/3Zd8/wtuFxew8O2XVNmwRnQ==" saltValue="z8hqZ/5T/Erbf0J1WnBk4w==" spinCount="100000" sheet="1" objects="1" scenarios="1"/>
  <mergeCells count="30">
    <mergeCell ref="A90:B90"/>
    <mergeCell ref="A12:B12"/>
    <mergeCell ref="A23:B23"/>
    <mergeCell ref="A31:B31"/>
    <mergeCell ref="A44:B44"/>
    <mergeCell ref="A48:B48"/>
    <mergeCell ref="A36:B36"/>
    <mergeCell ref="A56:B56"/>
    <mergeCell ref="A85:B85"/>
    <mergeCell ref="A57:B57"/>
    <mergeCell ref="A61:B61"/>
    <mergeCell ref="A65:B65"/>
    <mergeCell ref="A86:C86"/>
    <mergeCell ref="C52:C55"/>
    <mergeCell ref="C57:C84"/>
    <mergeCell ref="A81:B81"/>
    <mergeCell ref="A77:B77"/>
    <mergeCell ref="A1:C1"/>
    <mergeCell ref="A4:C4"/>
    <mergeCell ref="A2:C2"/>
    <mergeCell ref="A69:B69"/>
    <mergeCell ref="A73:B73"/>
    <mergeCell ref="B5:C5"/>
    <mergeCell ref="B6:C6"/>
    <mergeCell ref="B7:C7"/>
    <mergeCell ref="C24:C30"/>
    <mergeCell ref="C34:C35"/>
    <mergeCell ref="C37:C43"/>
    <mergeCell ref="C49:C50"/>
    <mergeCell ref="A51:B51"/>
  </mergeCells>
  <printOptions horizontalCentered="1"/>
  <pageMargins left="0.25" right="0.25" top="0.75" bottom="0.75" header="0.3" footer="0.3"/>
  <pageSetup scale="55" fitToHeight="0" orientation="portrait" r:id="rId1"/>
  <headerFooter>
    <oddHeader>&amp;R&amp;"Times New Roman,Italic"Document Prepared on &amp;D</oddHeader>
    <oddFooter>&amp;L&amp;F&amp;R&amp;P</oddFooter>
    <firstFooter>&amp;C&amp;Z&amp;F&amp;R&amp;N</firstFooter>
  </headerFooter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88E52-21DF-4DFE-8FDD-C9C9F2897468}">
  <sheetPr>
    <tabColor theme="3" tint="0.79998168889431442"/>
    <pageSetUpPr fitToPage="1"/>
  </sheetPr>
  <dimension ref="A1:D31"/>
  <sheetViews>
    <sheetView tabSelected="1" zoomScale="90" zoomScaleNormal="90" workbookViewId="0">
      <selection activeCell="A21" sqref="A21:C21"/>
    </sheetView>
  </sheetViews>
  <sheetFormatPr defaultColWidth="9.33203125" defaultRowHeight="13.8"/>
  <cols>
    <col min="1" max="1" width="47.77734375" style="68" customWidth="1"/>
    <col min="2" max="4" width="25.77734375" style="68" customWidth="1"/>
    <col min="5" max="5" width="0" style="68" hidden="1" customWidth="1"/>
    <col min="6" max="16384" width="9.33203125" style="68"/>
  </cols>
  <sheetData>
    <row r="1" spans="1:4" ht="51" customHeight="1">
      <c r="A1" s="582" t="s">
        <v>76</v>
      </c>
      <c r="B1" s="583"/>
      <c r="C1" s="583"/>
      <c r="D1" s="584"/>
    </row>
    <row r="2" spans="1:4" ht="51" customHeight="1" thickBot="1">
      <c r="A2" s="588" t="s">
        <v>77</v>
      </c>
      <c r="B2" s="589"/>
      <c r="C2" s="589"/>
      <c r="D2" s="590"/>
    </row>
    <row r="3" spans="1:4" ht="20.100000000000001" customHeight="1">
      <c r="A3" s="389" t="s">
        <v>3</v>
      </c>
      <c r="B3" s="591">
        <f>'Data Sheet'!B5</f>
        <v>0</v>
      </c>
      <c r="C3" s="592"/>
      <c r="D3" s="593"/>
    </row>
    <row r="4" spans="1:4" ht="20.100000000000001" customHeight="1">
      <c r="A4" s="389" t="s">
        <v>4</v>
      </c>
      <c r="B4" s="594">
        <f>'Data Sheet'!B6</f>
        <v>0</v>
      </c>
      <c r="C4" s="595"/>
      <c r="D4" s="596"/>
    </row>
    <row r="5" spans="1:4" ht="20.100000000000001" customHeight="1">
      <c r="A5" s="389" t="s">
        <v>5</v>
      </c>
      <c r="B5" s="594">
        <f>'Data Sheet'!B7</f>
        <v>0</v>
      </c>
      <c r="C5" s="595"/>
      <c r="D5" s="596"/>
    </row>
    <row r="6" spans="1:4" ht="20.100000000000001" customHeight="1" thickBot="1">
      <c r="A6" s="390" t="s">
        <v>7</v>
      </c>
      <c r="B6" s="391">
        <f>'Data Sheet'!B9</f>
        <v>0</v>
      </c>
      <c r="C6" s="392"/>
      <c r="D6" s="393"/>
    </row>
    <row r="7" spans="1:4" ht="20.100000000000001" customHeight="1" thickBot="1">
      <c r="A7" s="394" t="s">
        <v>78</v>
      </c>
      <c r="B7" s="395"/>
      <c r="C7" s="396"/>
      <c r="D7" s="325">
        <f>'Parks &amp; Rec'!E33</f>
        <v>0</v>
      </c>
    </row>
    <row r="8" spans="1:4" ht="20.100000000000001" customHeight="1" thickTop="1" thickBot="1">
      <c r="A8" s="397" t="s">
        <v>79</v>
      </c>
      <c r="B8" s="398"/>
      <c r="C8" s="399"/>
      <c r="D8" s="324">
        <f>Police!E16</f>
        <v>0</v>
      </c>
    </row>
    <row r="9" spans="1:4" ht="20.100000000000001" customHeight="1" thickTop="1" thickBot="1">
      <c r="A9" s="401" t="s">
        <v>80</v>
      </c>
      <c r="B9" s="402"/>
      <c r="C9" s="399"/>
      <c r="D9" s="359">
        <f>'Public Works'!F118</f>
        <v>0</v>
      </c>
    </row>
    <row r="10" spans="1:4" ht="20.100000000000001" customHeight="1" thickTop="1">
      <c r="A10" s="403" t="s">
        <v>81</v>
      </c>
      <c r="B10" s="404"/>
      <c r="C10" s="326">
        <f>'Public Works'!F21</f>
        <v>0</v>
      </c>
      <c r="D10" s="405"/>
    </row>
    <row r="11" spans="1:4" ht="20.100000000000001" customHeight="1">
      <c r="A11" s="403" t="s">
        <v>82</v>
      </c>
      <c r="B11" s="404"/>
      <c r="C11" s="327">
        <f>'Public Works'!F38</f>
        <v>0</v>
      </c>
      <c r="D11" s="405"/>
    </row>
    <row r="12" spans="1:4" ht="20.100000000000001" customHeight="1">
      <c r="A12" s="403" t="s">
        <v>83</v>
      </c>
      <c r="B12" s="404"/>
      <c r="C12" s="327">
        <f>'Public Works'!F67</f>
        <v>0</v>
      </c>
      <c r="D12" s="405"/>
    </row>
    <row r="13" spans="1:4" ht="20.100000000000001" customHeight="1">
      <c r="A13" s="406" t="s">
        <v>84</v>
      </c>
      <c r="B13" s="327">
        <f>'Public Works'!F47</f>
        <v>0</v>
      </c>
      <c r="C13" s="404"/>
      <c r="D13" s="405"/>
    </row>
    <row r="14" spans="1:4" ht="20.100000000000001" customHeight="1">
      <c r="A14" s="406" t="s">
        <v>85</v>
      </c>
      <c r="B14" s="327">
        <f>'Public Works'!F61</f>
        <v>0</v>
      </c>
      <c r="C14" s="404"/>
      <c r="D14" s="405"/>
    </row>
    <row r="15" spans="1:4" ht="20.100000000000001" customHeight="1">
      <c r="A15" s="406" t="s">
        <v>86</v>
      </c>
      <c r="B15" s="327">
        <f>'Public Works'!F66</f>
        <v>0</v>
      </c>
      <c r="C15" s="404"/>
      <c r="D15" s="405"/>
    </row>
    <row r="16" spans="1:4" ht="20.100000000000001" customHeight="1">
      <c r="A16" s="403" t="s">
        <v>87</v>
      </c>
      <c r="B16" s="404"/>
      <c r="C16" s="327">
        <f>'Public Works'!F79</f>
        <v>0</v>
      </c>
      <c r="D16" s="405"/>
    </row>
    <row r="17" spans="1:4" ht="20.100000000000001" customHeight="1" thickBot="1">
      <c r="A17" s="403" t="s">
        <v>88</v>
      </c>
      <c r="B17" s="407"/>
      <c r="C17" s="328">
        <f>'Public Works'!F110+'Public Works'!F116</f>
        <v>0</v>
      </c>
      <c r="D17" s="405"/>
    </row>
    <row r="18" spans="1:4" ht="20.100000000000001" customHeight="1" thickTop="1" thickBot="1">
      <c r="A18" s="397" t="s">
        <v>89</v>
      </c>
      <c r="B18" s="408"/>
      <c r="C18" s="408"/>
      <c r="D18" s="102">
        <f>Housing!E13</f>
        <v>0</v>
      </c>
    </row>
    <row r="19" spans="1:4" ht="20.100000000000001" customHeight="1" thickTop="1" thickBot="1">
      <c r="A19" s="600" t="s">
        <v>90</v>
      </c>
      <c r="B19" s="601"/>
      <c r="C19" s="602"/>
      <c r="D19" s="102">
        <f>tree!E80</f>
        <v>0</v>
      </c>
    </row>
    <row r="20" spans="1:4" ht="21.75" customHeight="1" thickTop="1" thickBot="1">
      <c r="A20" s="600" t="s">
        <v>91</v>
      </c>
      <c r="B20" s="601"/>
      <c r="C20" s="602"/>
      <c r="D20" s="409">
        <v>0</v>
      </c>
    </row>
    <row r="21" spans="1:4" ht="20.100000000000001" customHeight="1" thickTop="1" thickBot="1">
      <c r="A21" s="597" t="s">
        <v>92</v>
      </c>
      <c r="B21" s="598"/>
      <c r="C21" s="599"/>
      <c r="D21" s="102">
        <v>0</v>
      </c>
    </row>
    <row r="22" spans="1:4" ht="20.100000000000001" customHeight="1" thickTop="1" thickBot="1">
      <c r="A22" s="600" t="s">
        <v>93</v>
      </c>
      <c r="B22" s="601"/>
      <c r="C22" s="602"/>
      <c r="D22" s="102">
        <v>0</v>
      </c>
    </row>
    <row r="23" spans="1:4" ht="20.100000000000001" customHeight="1" thickTop="1" thickBot="1">
      <c r="A23" s="603" t="s">
        <v>94</v>
      </c>
      <c r="B23" s="604"/>
      <c r="C23" s="605"/>
      <c r="D23" s="324">
        <f>SUM(D7:D22)</f>
        <v>0</v>
      </c>
    </row>
    <row r="24" spans="1:4" ht="20.100000000000001" customHeight="1" thickTop="1" thickBot="1">
      <c r="A24" s="606" t="s">
        <v>95</v>
      </c>
      <c r="B24" s="607"/>
      <c r="C24" s="608"/>
      <c r="D24" s="400">
        <f>WUSD!E13</f>
        <v>0</v>
      </c>
    </row>
    <row r="25" spans="1:4" ht="20.100000000000001" customHeight="1" thickTop="1" thickBot="1">
      <c r="A25" s="606" t="s">
        <v>96</v>
      </c>
      <c r="B25" s="607"/>
      <c r="C25" s="608"/>
      <c r="D25" s="410">
        <f>Fire!E21</f>
        <v>0</v>
      </c>
    </row>
    <row r="26" spans="1:4" ht="20.100000000000001" customHeight="1" thickTop="1" thickBot="1">
      <c r="A26" s="609" t="s">
        <v>97</v>
      </c>
      <c r="B26" s="610"/>
      <c r="C26" s="611"/>
      <c r="D26" s="359">
        <f>SUM(D23:D25)</f>
        <v>0</v>
      </c>
    </row>
    <row r="27" spans="1:4" ht="20.100000000000001" customHeight="1" thickTop="1">
      <c r="A27" s="612" t="s">
        <v>575</v>
      </c>
      <c r="B27" s="613"/>
      <c r="C27" s="613"/>
      <c r="D27" s="614"/>
    </row>
    <row r="28" spans="1:4" ht="20.100000000000001" customHeight="1">
      <c r="A28" s="585" t="s">
        <v>98</v>
      </c>
      <c r="B28" s="586"/>
      <c r="C28" s="586"/>
      <c r="D28" s="587"/>
    </row>
    <row r="29" spans="1:4" ht="20.100000000000001" customHeight="1">
      <c r="A29" s="576" t="s">
        <v>99</v>
      </c>
      <c r="B29" s="577"/>
      <c r="C29" s="577"/>
      <c r="D29" s="578"/>
    </row>
    <row r="30" spans="1:4" ht="20.25" customHeight="1">
      <c r="A30" s="576" t="s">
        <v>100</v>
      </c>
      <c r="B30" s="577"/>
      <c r="C30" s="577"/>
      <c r="D30" s="578"/>
    </row>
    <row r="31" spans="1:4" ht="20.100000000000001" customHeight="1">
      <c r="A31" s="579"/>
      <c r="B31" s="580"/>
      <c r="C31" s="580"/>
      <c r="D31" s="581"/>
    </row>
  </sheetData>
  <sheetProtection algorithmName="SHA-512" hashValue="nQZruBn33sG0IsTy6b9xQdO9DN4ofMJJUnaZyOSLThsIus0biCn7rI1eTarywWCxL7jpig2ox0hc5jBvMnA6pQ==" saltValue="PgvZ5esnOrSEBhEEBxldJA==" spinCount="100000" sheet="1" objects="1" scenarios="1" selectLockedCells="1"/>
  <mergeCells count="18">
    <mergeCell ref="A26:C26"/>
    <mergeCell ref="A27:D27"/>
    <mergeCell ref="A29:D29"/>
    <mergeCell ref="A30:D30"/>
    <mergeCell ref="A31:D31"/>
    <mergeCell ref="A1:D1"/>
    <mergeCell ref="A28:D28"/>
    <mergeCell ref="A2:D2"/>
    <mergeCell ref="B3:D3"/>
    <mergeCell ref="B4:D4"/>
    <mergeCell ref="B5:D5"/>
    <mergeCell ref="A21:C21"/>
    <mergeCell ref="A19:C19"/>
    <mergeCell ref="A20:C20"/>
    <mergeCell ref="A22:C22"/>
    <mergeCell ref="A23:C23"/>
    <mergeCell ref="A24:C24"/>
    <mergeCell ref="A25:C25"/>
  </mergeCells>
  <printOptions horizontalCentered="1"/>
  <pageMargins left="0.25" right="0.25" top="0.75" bottom="0.75" header="0.3" footer="0.3"/>
  <pageSetup scale="91" fitToHeight="0" orientation="portrait" r:id="rId1"/>
  <headerFooter>
    <oddHeader>&amp;RDocument Prepared on &amp;D</oddHeader>
    <oddFooter>&amp;L&amp;F&amp;R&amp;P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1E604-8881-4834-9652-8D912059DAFD}">
  <sheetPr>
    <tabColor theme="2" tint="-0.249977111117893"/>
    <pageSetUpPr fitToPage="1"/>
  </sheetPr>
  <dimension ref="A1:Q152"/>
  <sheetViews>
    <sheetView topLeftCell="A92" zoomScale="85" zoomScaleNormal="85" workbookViewId="0">
      <selection activeCell="D107" sqref="D107:E107"/>
    </sheetView>
  </sheetViews>
  <sheetFormatPr defaultColWidth="9.33203125" defaultRowHeight="13.8"/>
  <cols>
    <col min="1" max="1" width="55.77734375" style="81" customWidth="1"/>
    <col min="2" max="2" width="21.77734375" style="86" customWidth="1"/>
    <col min="3" max="3" width="23.44140625" style="87" bestFit="1" customWidth="1"/>
    <col min="4" max="4" width="23.109375" style="88" customWidth="1"/>
    <col min="5" max="5" width="33.44140625" style="88" customWidth="1"/>
    <col min="6" max="6" width="24.33203125" style="81" customWidth="1"/>
    <col min="7" max="7" width="3.109375" style="81" customWidth="1"/>
    <col min="8" max="8" width="31" style="82" hidden="1" customWidth="1"/>
    <col min="9" max="9" width="45.77734375" style="81" hidden="1" customWidth="1"/>
    <col min="10" max="10" width="15.33203125" style="81" hidden="1" customWidth="1"/>
    <col min="11" max="11" width="9.33203125" style="81" hidden="1" customWidth="1"/>
    <col min="12" max="12" width="10.77734375" style="81" hidden="1" customWidth="1"/>
    <col min="13" max="13" width="10.33203125" style="81" hidden="1" customWidth="1"/>
    <col min="14" max="14" width="10.77734375" style="81" hidden="1" customWidth="1"/>
    <col min="15" max="17" width="9.33203125" style="81" hidden="1" customWidth="1"/>
    <col min="18" max="18" width="9.33203125" style="81" customWidth="1"/>
    <col min="19" max="16384" width="9.33203125" style="81"/>
  </cols>
  <sheetData>
    <row r="1" spans="1:10" ht="43.5" customHeight="1">
      <c r="A1" s="671" t="s">
        <v>101</v>
      </c>
      <c r="B1" s="672"/>
      <c r="C1" s="672"/>
      <c r="D1" s="672"/>
      <c r="E1" s="672"/>
      <c r="F1" s="673"/>
    </row>
    <row r="2" spans="1:10" ht="43.5" customHeight="1" thickBot="1">
      <c r="A2" s="674" t="s">
        <v>102</v>
      </c>
      <c r="B2" s="675"/>
      <c r="C2" s="675"/>
      <c r="D2" s="675"/>
      <c r="E2" s="675"/>
      <c r="F2" s="676"/>
    </row>
    <row r="3" spans="1:10" s="83" customFormat="1" ht="18" customHeight="1">
      <c r="A3" s="420" t="s">
        <v>103</v>
      </c>
      <c r="B3" s="532">
        <f>'Data Sheet'!B5</f>
        <v>0</v>
      </c>
      <c r="C3" s="533"/>
      <c r="D3" s="533"/>
      <c r="E3" s="533"/>
      <c r="F3" s="534"/>
      <c r="H3" s="84"/>
    </row>
    <row r="4" spans="1:10" s="83" customFormat="1" ht="18" customHeight="1">
      <c r="A4" s="389" t="s">
        <v>104</v>
      </c>
      <c r="B4" s="535">
        <f>'Data Sheet'!B6</f>
        <v>0</v>
      </c>
      <c r="C4" s="536"/>
      <c r="D4" s="536"/>
      <c r="E4" s="536"/>
      <c r="F4" s="537"/>
      <c r="H4" s="84"/>
    </row>
    <row r="5" spans="1:10" s="83" customFormat="1" ht="18" customHeight="1">
      <c r="A5" s="389" t="s">
        <v>105</v>
      </c>
      <c r="B5" s="535">
        <f>'Data Sheet'!B7</f>
        <v>0</v>
      </c>
      <c r="C5" s="536"/>
      <c r="D5" s="21"/>
      <c r="E5" s="21"/>
      <c r="F5" s="22"/>
      <c r="H5" s="84"/>
    </row>
    <row r="6" spans="1:10" s="83" customFormat="1" ht="18" customHeight="1">
      <c r="A6" s="389" t="s">
        <v>106</v>
      </c>
      <c r="B6" s="535">
        <f>'Data Sheet'!B9</f>
        <v>0</v>
      </c>
      <c r="C6" s="536"/>
      <c r="D6" s="21"/>
      <c r="E6" s="21"/>
      <c r="F6" s="22"/>
      <c r="H6" s="84"/>
    </row>
    <row r="7" spans="1:10" s="83" customFormat="1" ht="18" customHeight="1">
      <c r="A7" s="389" t="s">
        <v>9</v>
      </c>
      <c r="B7" s="668">
        <f>'Data Sheet'!B11</f>
        <v>0</v>
      </c>
      <c r="C7" s="669"/>
      <c r="D7" s="21"/>
      <c r="E7" s="21"/>
      <c r="F7" s="22"/>
      <c r="H7" s="84"/>
    </row>
    <row r="8" spans="1:10" s="83" customFormat="1" ht="18" customHeight="1">
      <c r="A8" s="389" t="s">
        <v>107</v>
      </c>
      <c r="B8" s="518">
        <f>'Data Sheet'!B91</f>
        <v>0</v>
      </c>
      <c r="C8" s="519"/>
      <c r="D8" s="21"/>
      <c r="E8" s="21"/>
      <c r="F8" s="22"/>
      <c r="H8" s="84"/>
    </row>
    <row r="9" spans="1:10" s="69" customFormat="1" ht="18" customHeight="1">
      <c r="A9" s="389" t="s">
        <v>73</v>
      </c>
      <c r="B9" s="520">
        <f>'Data Sheet'!B93</f>
        <v>0</v>
      </c>
      <c r="C9" s="519"/>
      <c r="D9" s="21"/>
      <c r="E9" s="21"/>
      <c r="F9" s="22"/>
      <c r="H9" s="423"/>
    </row>
    <row r="10" spans="1:10" s="69" customFormat="1" ht="18" customHeight="1">
      <c r="A10" s="389" t="s">
        <v>75</v>
      </c>
      <c r="B10" s="520">
        <f>'Data Sheet'!B94</f>
        <v>0</v>
      </c>
      <c r="C10" s="519"/>
      <c r="D10" s="21"/>
      <c r="E10" s="21"/>
      <c r="F10" s="22"/>
      <c r="H10" s="423"/>
    </row>
    <row r="11" spans="1:10" s="69" customFormat="1" ht="18" customHeight="1">
      <c r="A11" s="424" t="s">
        <v>108</v>
      </c>
      <c r="B11" s="521">
        <f>(SUM(F82:F85)+SUM(F87:F93)+SUM(F95:F101)+SUM(F103:F109)+F116)/C87</f>
        <v>0</v>
      </c>
      <c r="C11" s="519"/>
      <c r="D11" s="21"/>
      <c r="E11" s="21"/>
      <c r="F11" s="22"/>
      <c r="H11" s="423"/>
    </row>
    <row r="12" spans="1:10" s="69" customFormat="1" ht="18" customHeight="1" thickBot="1">
      <c r="A12" s="424" t="s">
        <v>109</v>
      </c>
      <c r="B12" s="522">
        <f>F118</f>
        <v>0</v>
      </c>
      <c r="C12" s="523"/>
      <c r="D12" s="23"/>
      <c r="E12" s="23"/>
      <c r="F12" s="24"/>
      <c r="H12" s="423"/>
    </row>
    <row r="13" spans="1:10" s="69" customFormat="1" ht="18" customHeight="1" thickBot="1">
      <c r="A13" s="427" t="s">
        <v>110</v>
      </c>
      <c r="B13" s="680"/>
      <c r="C13" s="681"/>
      <c r="D13" s="428" t="s">
        <v>111</v>
      </c>
      <c r="E13" s="682"/>
      <c r="F13" s="683"/>
      <c r="H13" s="423"/>
    </row>
    <row r="14" spans="1:10" s="69" customFormat="1" ht="8.25" customHeight="1" thickBot="1">
      <c r="A14" s="429"/>
      <c r="B14" s="430"/>
      <c r="C14" s="430"/>
      <c r="D14" s="429"/>
      <c r="E14" s="431"/>
      <c r="F14" s="431"/>
      <c r="H14" s="423"/>
    </row>
    <row r="15" spans="1:10" s="83" customFormat="1" ht="15.9" customHeight="1" thickTop="1" thickBot="1">
      <c r="A15" s="432" t="s">
        <v>112</v>
      </c>
      <c r="B15" s="415"/>
      <c r="C15" s="433"/>
      <c r="D15" s="415"/>
      <c r="E15" s="415"/>
      <c r="F15" s="417"/>
      <c r="H15" s="434" t="s">
        <v>523</v>
      </c>
      <c r="I15" s="356" t="s">
        <v>524</v>
      </c>
      <c r="J15" s="356" t="s">
        <v>525</v>
      </c>
    </row>
    <row r="16" spans="1:10" s="83" customFormat="1" ht="15.9" customHeight="1" thickTop="1" thickBot="1">
      <c r="A16" s="435" t="s">
        <v>113</v>
      </c>
      <c r="B16" s="435" t="s">
        <v>114</v>
      </c>
      <c r="C16" s="436" t="s">
        <v>115</v>
      </c>
      <c r="D16" s="435" t="s">
        <v>116</v>
      </c>
      <c r="E16" s="632" t="s">
        <v>117</v>
      </c>
      <c r="F16" s="633"/>
      <c r="H16" s="438"/>
    </row>
    <row r="17" spans="1:10" s="85" customFormat="1" ht="15.9" customHeight="1" thickTop="1">
      <c r="A17" s="439" t="s">
        <v>118</v>
      </c>
      <c r="B17" s="360">
        <f>'Data Sheet'!B13</f>
        <v>0</v>
      </c>
      <c r="C17" s="313">
        <f>'FY26-27 FEE Worksheet'!K124</f>
        <v>4022</v>
      </c>
      <c r="D17" s="415" t="s">
        <v>119</v>
      </c>
      <c r="E17" s="692">
        <f>ROUND(+B17*C17,2)</f>
        <v>0</v>
      </c>
      <c r="F17" s="692"/>
      <c r="H17" s="660" t="s">
        <v>120</v>
      </c>
      <c r="I17" s="660" t="s">
        <v>542</v>
      </c>
      <c r="J17" s="660" t="s">
        <v>526</v>
      </c>
    </row>
    <row r="18" spans="1:10" s="83" customFormat="1" ht="15.9" customHeight="1">
      <c r="A18" s="439" t="s">
        <v>121</v>
      </c>
      <c r="B18" s="361">
        <f>'Data Sheet'!B17</f>
        <v>0</v>
      </c>
      <c r="C18" s="313">
        <f>'FY26-27 FEE Worksheet'!K125</f>
        <v>2373</v>
      </c>
      <c r="D18" s="415" t="s">
        <v>119</v>
      </c>
      <c r="E18" s="670">
        <f>ROUND(+B18*C18,2)</f>
        <v>0</v>
      </c>
      <c r="F18" s="670"/>
      <c r="H18" s="655"/>
      <c r="I18" s="655"/>
      <c r="J18" s="655"/>
    </row>
    <row r="19" spans="1:10" s="83" customFormat="1" ht="15.9" customHeight="1">
      <c r="A19" s="439" t="s">
        <v>122</v>
      </c>
      <c r="B19" s="362">
        <f>SUM('Data Sheet'!B24+'Data Sheet'!B25,'Data Sheet'!B27)</f>
        <v>0</v>
      </c>
      <c r="C19" s="313">
        <f>'FY26-27 FEE Worksheet'!K127</f>
        <v>1408</v>
      </c>
      <c r="D19" s="415" t="s">
        <v>123</v>
      </c>
      <c r="E19" s="670">
        <f>ROUND(+B19*C19,2)/1000</f>
        <v>0</v>
      </c>
      <c r="F19" s="670"/>
      <c r="H19" s="655" t="s">
        <v>124</v>
      </c>
      <c r="I19" s="660" t="s">
        <v>542</v>
      </c>
      <c r="J19" s="660" t="s">
        <v>527</v>
      </c>
    </row>
    <row r="20" spans="1:10" s="83" customFormat="1" ht="15.9" customHeight="1" thickBot="1">
      <c r="A20" s="439" t="s">
        <v>125</v>
      </c>
      <c r="B20" s="362">
        <f>'Data Sheet'!B28+'Data Sheet'!B29</f>
        <v>0</v>
      </c>
      <c r="C20" s="313">
        <f>'FY26-27 FEE Worksheet'!K128</f>
        <v>1769</v>
      </c>
      <c r="D20" s="415" t="s">
        <v>123</v>
      </c>
      <c r="E20" s="670">
        <f>ROUND(+B20*C20,2)/1000</f>
        <v>0</v>
      </c>
      <c r="F20" s="693"/>
      <c r="G20" s="440"/>
      <c r="H20" s="656"/>
      <c r="I20" s="655"/>
      <c r="J20" s="655"/>
    </row>
    <row r="21" spans="1:10" s="83" customFormat="1" ht="15.9" customHeight="1" thickTop="1" thickBot="1">
      <c r="A21" s="442"/>
      <c r="B21" s="443"/>
      <c r="C21" s="444"/>
      <c r="D21" s="664" t="s">
        <v>126</v>
      </c>
      <c r="E21" s="664"/>
      <c r="F21" s="413">
        <f>SUM(E17:F20)</f>
        <v>0</v>
      </c>
      <c r="G21" s="440"/>
      <c r="H21" s="84"/>
    </row>
    <row r="22" spans="1:10" s="83" customFormat="1" ht="15.9" customHeight="1" thickTop="1" thickBot="1">
      <c r="A22" s="445" t="s">
        <v>127</v>
      </c>
      <c r="B22" s="415"/>
      <c r="C22" s="433"/>
      <c r="D22" s="415"/>
      <c r="E22" s="443"/>
      <c r="F22" s="446" t="s">
        <v>128</v>
      </c>
      <c r="H22" s="84"/>
    </row>
    <row r="23" spans="1:10" s="83" customFormat="1" ht="15.9" customHeight="1" thickTop="1" thickBot="1">
      <c r="A23" s="435" t="s">
        <v>113</v>
      </c>
      <c r="B23" s="435" t="s">
        <v>114</v>
      </c>
      <c r="C23" s="436" t="s">
        <v>115</v>
      </c>
      <c r="D23" s="435" t="s">
        <v>116</v>
      </c>
      <c r="E23" s="690" t="s">
        <v>117</v>
      </c>
      <c r="F23" s="691"/>
      <c r="H23" s="438"/>
    </row>
    <row r="24" spans="1:10" s="83" customFormat="1" ht="15.9" customHeight="1" thickTop="1">
      <c r="A24" s="414" t="s">
        <v>129</v>
      </c>
      <c r="B24" s="362">
        <f>'Data Sheet'!B13</f>
        <v>0</v>
      </c>
      <c r="C24" s="313">
        <f>'FY26-27 FEE Worksheet'!K103</f>
        <v>13796</v>
      </c>
      <c r="D24" s="415" t="s">
        <v>119</v>
      </c>
      <c r="E24" s="670">
        <f>B24*C24</f>
        <v>0</v>
      </c>
      <c r="F24" s="670"/>
      <c r="H24" s="654" t="s">
        <v>130</v>
      </c>
      <c r="I24" s="694" t="s">
        <v>541</v>
      </c>
      <c r="J24" s="694" t="s">
        <v>529</v>
      </c>
    </row>
    <row r="25" spans="1:10" s="83" customFormat="1" ht="15.9" customHeight="1">
      <c r="A25" s="416" t="s">
        <v>121</v>
      </c>
      <c r="B25" s="362">
        <f>'Data Sheet'!B17</f>
        <v>0</v>
      </c>
      <c r="C25" s="313">
        <f>'FY26-27 FEE Worksheet'!K104</f>
        <v>7804</v>
      </c>
      <c r="D25" s="415" t="s">
        <v>119</v>
      </c>
      <c r="E25" s="670">
        <f t="shared" ref="E25:E26" si="0">B25*C25</f>
        <v>0</v>
      </c>
      <c r="F25" s="670"/>
      <c r="H25" s="655"/>
      <c r="I25" s="695"/>
      <c r="J25" s="695"/>
    </row>
    <row r="26" spans="1:10" s="83" customFormat="1" ht="15.9" customHeight="1" thickBot="1">
      <c r="A26" s="416" t="s">
        <v>131</v>
      </c>
      <c r="B26" s="362">
        <f>'Data Sheet'!B19</f>
        <v>0</v>
      </c>
      <c r="C26" s="313">
        <f>'FY26-27 FEE Worksheet'!K105</f>
        <v>0</v>
      </c>
      <c r="D26" s="415" t="s">
        <v>119</v>
      </c>
      <c r="E26" s="670">
        <f t="shared" si="0"/>
        <v>0</v>
      </c>
      <c r="F26" s="670"/>
      <c r="H26" s="656"/>
      <c r="I26" s="696"/>
      <c r="J26" s="696"/>
    </row>
    <row r="27" spans="1:10" s="83" customFormat="1" ht="15.9" customHeight="1" thickTop="1" thickBot="1">
      <c r="A27" s="684" t="s">
        <v>132</v>
      </c>
      <c r="B27" s="685"/>
      <c r="C27" s="685"/>
      <c r="D27" s="686"/>
      <c r="E27" s="364">
        <f>SUM(E24:E26)</f>
        <v>0</v>
      </c>
      <c r="F27" s="363"/>
      <c r="G27" s="440"/>
      <c r="H27" s="447"/>
    </row>
    <row r="28" spans="1:10" s="83" customFormat="1" ht="15.9" customHeight="1" thickTop="1">
      <c r="A28" s="416" t="s">
        <v>122</v>
      </c>
      <c r="B28" s="321">
        <f>'Data Sheet'!B24</f>
        <v>0</v>
      </c>
      <c r="C28" s="313">
        <f>'FY26-27 FEE Worksheet'!K106</f>
        <v>11707</v>
      </c>
      <c r="D28" s="333" t="s">
        <v>123</v>
      </c>
      <c r="E28" s="670">
        <f t="shared" ref="E28:E33" si="1">B28*C28/1000</f>
        <v>0</v>
      </c>
      <c r="F28" s="670"/>
      <c r="H28" s="654" t="s">
        <v>133</v>
      </c>
      <c r="I28" s="654" t="s">
        <v>541</v>
      </c>
      <c r="J28" s="654" t="s">
        <v>528</v>
      </c>
    </row>
    <row r="29" spans="1:10" s="83" customFormat="1" ht="15.9" customHeight="1">
      <c r="A29" s="416" t="s">
        <v>134</v>
      </c>
      <c r="B29" s="321">
        <f>'Data Sheet'!B25</f>
        <v>0</v>
      </c>
      <c r="C29" s="313">
        <f>'FY26-27 FEE Worksheet'!K107</f>
        <v>14076</v>
      </c>
      <c r="D29" s="333" t="s">
        <v>123</v>
      </c>
      <c r="E29" s="670">
        <f t="shared" si="1"/>
        <v>0</v>
      </c>
      <c r="F29" s="670"/>
      <c r="H29" s="655"/>
      <c r="I29" s="655"/>
      <c r="J29" s="655"/>
    </row>
    <row r="30" spans="1:10" s="83" customFormat="1" ht="15.9" customHeight="1">
      <c r="A30" s="416" t="s">
        <v>135</v>
      </c>
      <c r="B30" s="321">
        <f>'Data Sheet'!B27</f>
        <v>0</v>
      </c>
      <c r="C30" s="313">
        <f>'FY26-27 FEE Worksheet'!K108</f>
        <v>8921</v>
      </c>
      <c r="D30" s="333" t="s">
        <v>123</v>
      </c>
      <c r="E30" s="670">
        <f t="shared" si="1"/>
        <v>0</v>
      </c>
      <c r="F30" s="670"/>
      <c r="H30" s="655"/>
      <c r="I30" s="655"/>
      <c r="J30" s="655"/>
    </row>
    <row r="31" spans="1:10" s="83" customFormat="1" ht="15.9" customHeight="1">
      <c r="A31" s="416" t="s">
        <v>136</v>
      </c>
      <c r="B31" s="321">
        <f>'Data Sheet'!B28</f>
        <v>0</v>
      </c>
      <c r="C31" s="313">
        <f>'FY26-27 FEE Worksheet'!K109</f>
        <v>5853</v>
      </c>
      <c r="D31" s="333" t="s">
        <v>123</v>
      </c>
      <c r="E31" s="670">
        <f t="shared" si="1"/>
        <v>0</v>
      </c>
      <c r="F31" s="670"/>
      <c r="H31" s="655"/>
      <c r="I31" s="655"/>
      <c r="J31" s="655"/>
    </row>
    <row r="32" spans="1:10" s="83" customFormat="1" ht="15.9" customHeight="1">
      <c r="A32" s="416" t="s">
        <v>137</v>
      </c>
      <c r="B32" s="321">
        <f>'Data Sheet'!B29</f>
        <v>0</v>
      </c>
      <c r="C32" s="313">
        <f>'FY26-27 FEE Worksheet'!K110</f>
        <v>1672</v>
      </c>
      <c r="D32" s="333" t="s">
        <v>123</v>
      </c>
      <c r="E32" s="670">
        <f t="shared" si="1"/>
        <v>0</v>
      </c>
      <c r="F32" s="670"/>
      <c r="H32" s="655"/>
      <c r="I32" s="655"/>
      <c r="J32" s="655"/>
    </row>
    <row r="33" spans="1:16" s="83" customFormat="1" ht="15.9" customHeight="1" thickBot="1">
      <c r="A33" s="416" t="s">
        <v>138</v>
      </c>
      <c r="B33" s="321">
        <f>'Data Sheet'!B30</f>
        <v>0</v>
      </c>
      <c r="C33" s="313">
        <f>'FY26-27 FEE Worksheet'!K111</f>
        <v>9059</v>
      </c>
      <c r="D33" s="333" t="s">
        <v>123</v>
      </c>
      <c r="E33" s="670">
        <f t="shared" si="1"/>
        <v>0</v>
      </c>
      <c r="F33" s="670"/>
      <c r="H33" s="656"/>
      <c r="I33" s="656"/>
      <c r="J33" s="656"/>
    </row>
    <row r="34" spans="1:16" s="83" customFormat="1" ht="15.9" customHeight="1" thickTop="1" thickBot="1">
      <c r="A34" s="684" t="s">
        <v>139</v>
      </c>
      <c r="B34" s="685"/>
      <c r="C34" s="685"/>
      <c r="D34" s="686"/>
      <c r="E34" s="364">
        <f>SUM(E28:E33)</f>
        <v>0</v>
      </c>
      <c r="F34" s="363"/>
      <c r="G34" s="440"/>
      <c r="H34" s="447"/>
    </row>
    <row r="35" spans="1:16" s="83" customFormat="1" ht="15.9" customHeight="1" thickTop="1">
      <c r="A35" s="439" t="s">
        <v>140</v>
      </c>
      <c r="B35" s="415">
        <v>-0.15</v>
      </c>
      <c r="C35" s="433"/>
      <c r="E35" s="365">
        <f>IF(B8="y",(MIN(E27,E34)*B35),0)</f>
        <v>0</v>
      </c>
      <c r="F35" s="363"/>
      <c r="G35" s="440"/>
      <c r="H35" s="660" t="s">
        <v>130</v>
      </c>
      <c r="I35" s="660" t="s">
        <v>541</v>
      </c>
      <c r="J35" s="660" t="s">
        <v>529</v>
      </c>
    </row>
    <row r="36" spans="1:16" s="83" customFormat="1" ht="15.9" customHeight="1">
      <c r="A36" s="439" t="s">
        <v>141</v>
      </c>
      <c r="B36" s="415">
        <v>-0.09</v>
      </c>
      <c r="C36" s="433"/>
      <c r="E36" s="365">
        <f>IF('Data Sheet'!B92="Y",E27*B36,0)</f>
        <v>0</v>
      </c>
      <c r="F36" s="363"/>
      <c r="G36" s="440"/>
      <c r="H36" s="655"/>
      <c r="I36" s="655"/>
      <c r="J36" s="655"/>
    </row>
    <row r="37" spans="1:16" s="83" customFormat="1" ht="15.9" customHeight="1" thickBot="1">
      <c r="A37" s="439" t="s">
        <v>142</v>
      </c>
      <c r="B37" s="415">
        <v>-0.03</v>
      </c>
      <c r="C37" s="433"/>
      <c r="E37" s="365">
        <f>IF('Data Sheet'!B92="Y",E34*B37,0)</f>
        <v>0</v>
      </c>
      <c r="F37" s="363"/>
      <c r="G37" s="440"/>
      <c r="H37" s="441" t="s">
        <v>133</v>
      </c>
      <c r="I37" s="441" t="s">
        <v>541</v>
      </c>
      <c r="J37" s="441" t="s">
        <v>528</v>
      </c>
    </row>
    <row r="38" spans="1:16" s="83" customFormat="1" ht="15.9" customHeight="1" thickTop="1" thickBot="1">
      <c r="A38" s="687" t="s">
        <v>143</v>
      </c>
      <c r="B38" s="688"/>
      <c r="C38" s="688"/>
      <c r="D38" s="688"/>
      <c r="E38" s="689"/>
      <c r="F38" s="418">
        <f>E27+E34+E35+E36+E37</f>
        <v>0</v>
      </c>
      <c r="H38" s="84"/>
    </row>
    <row r="39" spans="1:16" s="83" customFormat="1" ht="15.9" customHeight="1" thickTop="1" thickBot="1">
      <c r="A39" s="677" t="s">
        <v>144</v>
      </c>
      <c r="B39" s="678"/>
      <c r="C39" s="678"/>
      <c r="D39" s="678"/>
      <c r="E39" s="678"/>
      <c r="F39" s="679"/>
      <c r="H39" s="84"/>
    </row>
    <row r="40" spans="1:16" s="83" customFormat="1" ht="15.9" customHeight="1" thickTop="1" thickBot="1">
      <c r="A40" s="435" t="s">
        <v>113</v>
      </c>
      <c r="B40" s="632" t="s">
        <v>114</v>
      </c>
      <c r="C40" s="633"/>
      <c r="D40" s="435" t="s">
        <v>115</v>
      </c>
      <c r="E40" s="435" t="s">
        <v>116</v>
      </c>
      <c r="F40" s="435" t="s">
        <v>117</v>
      </c>
      <c r="H40" s="84"/>
    </row>
    <row r="41" spans="1:16" s="83" customFormat="1" ht="15.9" customHeight="1" thickTop="1" thickBot="1">
      <c r="A41" s="448" t="s">
        <v>145</v>
      </c>
      <c r="B41" s="449" t="s">
        <v>146</v>
      </c>
      <c r="C41" s="449" t="s">
        <v>147</v>
      </c>
      <c r="D41" s="69"/>
      <c r="E41" s="69"/>
      <c r="F41" s="450"/>
      <c r="H41" s="438"/>
      <c r="I41" s="451"/>
      <c r="P41" s="83" t="s">
        <v>568</v>
      </c>
    </row>
    <row r="42" spans="1:16" s="83" customFormat="1" ht="15.9" customHeight="1" thickTop="1">
      <c r="A42" s="373" t="s">
        <v>148</v>
      </c>
      <c r="B42" s="376">
        <f>B43+B44+B45+B46</f>
        <v>0</v>
      </c>
      <c r="C42" s="411">
        <f>C45+C46</f>
        <v>0</v>
      </c>
      <c r="D42" s="377">
        <v>191</v>
      </c>
      <c r="E42" s="415" t="s">
        <v>149</v>
      </c>
      <c r="F42" s="367">
        <f>ROUND((B42+C42)*D42,0)</f>
        <v>0</v>
      </c>
      <c r="H42" s="661" t="s">
        <v>530</v>
      </c>
      <c r="I42" s="452" t="s">
        <v>151</v>
      </c>
      <c r="K42" t="s">
        <v>152</v>
      </c>
      <c r="L42"/>
      <c r="M42"/>
      <c r="N42"/>
      <c r="O42"/>
      <c r="P42" s="329" t="s">
        <v>569</v>
      </c>
    </row>
    <row r="43" spans="1:16" s="83" customFormat="1" ht="15.9" customHeight="1">
      <c r="A43" s="373" t="s">
        <v>153</v>
      </c>
      <c r="B43" s="378">
        <f>'Data Sheet'!B32</f>
        <v>0</v>
      </c>
      <c r="C43" s="378" t="s">
        <v>154</v>
      </c>
      <c r="D43" s="377">
        <f>ROUND(P44,0)</f>
        <v>528</v>
      </c>
      <c r="E43" s="415" t="s">
        <v>155</v>
      </c>
      <c r="F43" s="367">
        <f>ROUND((B43)*D43,0)</f>
        <v>0</v>
      </c>
      <c r="H43" s="658"/>
      <c r="I43" s="630" t="s">
        <v>156</v>
      </c>
      <c r="K43" s="306" t="s">
        <v>157</v>
      </c>
      <c r="L43" s="306" t="s">
        <v>158</v>
      </c>
      <c r="M43" s="306" t="s">
        <v>159</v>
      </c>
      <c r="N43" s="306" t="s">
        <v>160</v>
      </c>
      <c r="O43" s="306" t="s">
        <v>161</v>
      </c>
      <c r="P43" s="306" t="s">
        <v>162</v>
      </c>
    </row>
    <row r="44" spans="1:16" s="83" customFormat="1" ht="15.9" customHeight="1">
      <c r="A44" s="373" t="s">
        <v>163</v>
      </c>
      <c r="B44" s="362">
        <f>'Data Sheet'!B33</f>
        <v>0</v>
      </c>
      <c r="C44" s="362" t="s">
        <v>154</v>
      </c>
      <c r="D44" s="377">
        <f t="shared" ref="D44:D46" si="2">ROUND(P45,0)</f>
        <v>583</v>
      </c>
      <c r="E44" s="415" t="s">
        <v>155</v>
      </c>
      <c r="F44" s="367">
        <f>ROUND((B44)*D44,0)</f>
        <v>0</v>
      </c>
      <c r="H44" s="658"/>
      <c r="I44" s="630"/>
      <c r="K44" s="307" t="s">
        <v>164</v>
      </c>
      <c r="L44" s="308">
        <v>237.59</v>
      </c>
      <c r="M44" s="308">
        <v>246.62</v>
      </c>
      <c r="N44" s="308">
        <f>SUM(L44:M44)</f>
        <v>484.21000000000004</v>
      </c>
      <c r="O44" s="308">
        <f>N44*0.09</f>
        <v>43.578900000000004</v>
      </c>
      <c r="P44" s="309">
        <f>SUM(N44:O44)</f>
        <v>527.78890000000001</v>
      </c>
    </row>
    <row r="45" spans="1:16" s="83" customFormat="1" ht="15.9" customHeight="1">
      <c r="A45" s="373" t="s">
        <v>165</v>
      </c>
      <c r="B45" s="362">
        <f>'Data Sheet'!B34</f>
        <v>0</v>
      </c>
      <c r="C45" s="362">
        <f>'Data Sheet'!B45</f>
        <v>0</v>
      </c>
      <c r="D45" s="377">
        <f t="shared" si="2"/>
        <v>787</v>
      </c>
      <c r="E45" s="415" t="s">
        <v>155</v>
      </c>
      <c r="F45" s="367">
        <f t="shared" ref="F45" si="3">ROUND((B45+C45)*D45,0)</f>
        <v>0</v>
      </c>
      <c r="H45" s="658"/>
      <c r="I45" s="630"/>
      <c r="K45" s="310" t="s">
        <v>166</v>
      </c>
      <c r="L45" s="308">
        <v>287.98</v>
      </c>
      <c r="M45" s="308">
        <v>246.62</v>
      </c>
      <c r="N45" s="308">
        <f t="shared" ref="N45:N46" si="4">SUM(L45:M45)</f>
        <v>534.6</v>
      </c>
      <c r="O45" s="308">
        <f t="shared" ref="O45:O47" si="5">N45*0.09</f>
        <v>48.113999999999997</v>
      </c>
      <c r="P45" s="309">
        <f t="shared" ref="P45:P47" si="6">SUM(N45:O45)</f>
        <v>582.71400000000006</v>
      </c>
    </row>
    <row r="46" spans="1:16" s="83" customFormat="1" ht="15.9" customHeight="1" thickBot="1">
      <c r="A46" s="373" t="s">
        <v>167</v>
      </c>
      <c r="B46" s="362">
        <f>'Data Sheet'!B35</f>
        <v>0</v>
      </c>
      <c r="C46" s="411">
        <f>'Data Sheet'!B46</f>
        <v>0</v>
      </c>
      <c r="D46" s="377">
        <f t="shared" si="2"/>
        <v>1077</v>
      </c>
      <c r="E46" s="415" t="s">
        <v>155</v>
      </c>
      <c r="F46" s="367">
        <f>ROUND((B46+C46)*D46,0)</f>
        <v>0</v>
      </c>
      <c r="H46" s="659"/>
      <c r="I46" s="631"/>
      <c r="K46" s="311">
        <v>1</v>
      </c>
      <c r="L46" s="308">
        <v>475.69</v>
      </c>
      <c r="M46" s="308">
        <v>246.62</v>
      </c>
      <c r="N46" s="308">
        <f t="shared" si="4"/>
        <v>722.31</v>
      </c>
      <c r="O46" s="308">
        <f t="shared" si="5"/>
        <v>65.007899999999992</v>
      </c>
      <c r="P46" s="309">
        <f t="shared" si="6"/>
        <v>787.3178999999999</v>
      </c>
    </row>
    <row r="47" spans="1:16" s="83" customFormat="1" ht="15.9" customHeight="1" thickTop="1">
      <c r="A47" s="636" t="s">
        <v>168</v>
      </c>
      <c r="B47" s="637"/>
      <c r="C47" s="637"/>
      <c r="D47" s="637"/>
      <c r="E47" s="453" t="s">
        <v>169</v>
      </c>
      <c r="F47" s="367">
        <f>SUM(F42:F46)</f>
        <v>0</v>
      </c>
      <c r="H47" s="84"/>
      <c r="K47" s="312">
        <v>1.5</v>
      </c>
      <c r="L47" s="308">
        <v>741.56</v>
      </c>
      <c r="M47" s="308">
        <v>246.62</v>
      </c>
      <c r="N47" s="308">
        <f>SUM(L47:M47)</f>
        <v>988.18</v>
      </c>
      <c r="O47" s="308">
        <f t="shared" si="5"/>
        <v>88.936199999999985</v>
      </c>
      <c r="P47" s="309">
        <f t="shared" si="6"/>
        <v>1077.1161999999999</v>
      </c>
    </row>
    <row r="48" spans="1:16" s="83" customFormat="1" ht="15.9" customHeight="1" thickBot="1">
      <c r="A48" s="454" t="s">
        <v>170</v>
      </c>
      <c r="B48" s="640" t="s">
        <v>146</v>
      </c>
      <c r="C48" s="640"/>
      <c r="D48" s="415"/>
      <c r="E48" s="415"/>
      <c r="F48" s="417"/>
      <c r="H48" s="438"/>
    </row>
    <row r="49" spans="1:10" s="83" customFormat="1" ht="15.9" customHeight="1" thickTop="1">
      <c r="A49" s="455" t="s">
        <v>171</v>
      </c>
      <c r="B49" s="638">
        <f>'Data Sheet'!B15</f>
        <v>0</v>
      </c>
      <c r="C49" s="638"/>
      <c r="D49" s="313">
        <f>'FY26-27 FEE Worksheet'!K27</f>
        <v>3434</v>
      </c>
      <c r="E49" s="415" t="s">
        <v>172</v>
      </c>
      <c r="F49" s="367">
        <f>ROUND(B49*D49,0)</f>
        <v>0</v>
      </c>
      <c r="H49" s="654" t="s">
        <v>173</v>
      </c>
      <c r="I49" s="654" t="s">
        <v>531</v>
      </c>
      <c r="J49" s="654" t="s">
        <v>532</v>
      </c>
    </row>
    <row r="50" spans="1:10" s="83" customFormat="1" ht="15.9" customHeight="1">
      <c r="A50" s="455" t="s">
        <v>174</v>
      </c>
      <c r="B50" s="638">
        <f>'Data Sheet'!B14</f>
        <v>0</v>
      </c>
      <c r="C50" s="638"/>
      <c r="D50" s="313">
        <f>'FY26-27 FEE Worksheet'!K28</f>
        <v>5024</v>
      </c>
      <c r="E50" s="415" t="s">
        <v>172</v>
      </c>
      <c r="F50" s="367">
        <f t="shared" ref="F50:F52" si="7">ROUND(B50*D50,0)</f>
        <v>0</v>
      </c>
      <c r="H50" s="655"/>
      <c r="I50" s="655"/>
      <c r="J50" s="655"/>
    </row>
    <row r="51" spans="1:10" s="83" customFormat="1" ht="15.9" customHeight="1">
      <c r="A51" s="455" t="s">
        <v>175</v>
      </c>
      <c r="B51" s="638">
        <f>'Data Sheet'!B19</f>
        <v>0</v>
      </c>
      <c r="C51" s="638"/>
      <c r="D51" s="313">
        <f>'FY26-27 FEE Worksheet'!K29</f>
        <v>0</v>
      </c>
      <c r="E51" s="415" t="s">
        <v>172</v>
      </c>
      <c r="F51" s="367">
        <f t="shared" si="7"/>
        <v>0</v>
      </c>
      <c r="H51" s="655"/>
      <c r="I51" s="655"/>
      <c r="J51" s="655"/>
    </row>
    <row r="52" spans="1:10" s="83" customFormat="1" ht="15.9" customHeight="1" thickBot="1">
      <c r="A52" s="455" t="s">
        <v>176</v>
      </c>
      <c r="B52" s="638">
        <f>'Data Sheet'!B17</f>
        <v>0</v>
      </c>
      <c r="C52" s="638"/>
      <c r="D52" s="313">
        <f>'FY26-27 FEE Worksheet'!K31</f>
        <v>2562</v>
      </c>
      <c r="E52" s="415" t="s">
        <v>172</v>
      </c>
      <c r="F52" s="367">
        <f t="shared" si="7"/>
        <v>0</v>
      </c>
      <c r="H52" s="656"/>
      <c r="I52" s="656"/>
      <c r="J52" s="656"/>
    </row>
    <row r="53" spans="1:10" s="83" customFormat="1" ht="15.9" customHeight="1" thickTop="1" thickBot="1">
      <c r="A53" s="456"/>
      <c r="B53" s="415"/>
      <c r="C53" s="433"/>
      <c r="D53" s="412"/>
      <c r="E53" s="415"/>
      <c r="F53" s="457"/>
      <c r="H53" s="458"/>
      <c r="I53" s="451"/>
    </row>
    <row r="54" spans="1:10" s="83" customFormat="1" ht="15.9" customHeight="1" thickTop="1">
      <c r="A54" s="459" t="s">
        <v>177</v>
      </c>
      <c r="B54" s="638">
        <f>'Data Sheet'!B37</f>
        <v>0</v>
      </c>
      <c r="C54" s="638"/>
      <c r="D54" s="313">
        <f>'FY26-27 FEE Worksheet'!K33</f>
        <v>8374</v>
      </c>
      <c r="E54" s="415" t="s">
        <v>178</v>
      </c>
      <c r="F54" s="367">
        <f>ROUND(B54*D54,0)</f>
        <v>0</v>
      </c>
      <c r="H54" s="657" t="s">
        <v>536</v>
      </c>
      <c r="I54" s="460" t="s">
        <v>537</v>
      </c>
    </row>
    <row r="55" spans="1:10" s="83" customFormat="1" ht="15.9" customHeight="1">
      <c r="A55" s="459" t="s">
        <v>179</v>
      </c>
      <c r="B55" s="638">
        <f>'Data Sheet'!B38</f>
        <v>0</v>
      </c>
      <c r="C55" s="638"/>
      <c r="D55" s="313">
        <f>'FY26-27 FEE Worksheet'!K34</f>
        <v>16747</v>
      </c>
      <c r="E55" s="415" t="s">
        <v>178</v>
      </c>
      <c r="F55" s="367">
        <f t="shared" ref="F55:F60" si="8">ROUND(B55*D55,0)</f>
        <v>0</v>
      </c>
      <c r="H55" s="658"/>
      <c r="I55" s="461"/>
    </row>
    <row r="56" spans="1:10" s="83" customFormat="1" ht="15.9" customHeight="1" thickBot="1">
      <c r="A56" s="459" t="s">
        <v>180</v>
      </c>
      <c r="B56" s="638">
        <f>'Data Sheet'!B39</f>
        <v>0</v>
      </c>
      <c r="C56" s="638"/>
      <c r="D56" s="313">
        <f>'FY26-27 FEE Worksheet'!K35</f>
        <v>26796</v>
      </c>
      <c r="E56" s="415" t="s">
        <v>178</v>
      </c>
      <c r="F56" s="367">
        <f t="shared" si="8"/>
        <v>0</v>
      </c>
      <c r="H56" s="658"/>
      <c r="I56" s="462" t="s">
        <v>538</v>
      </c>
      <c r="J56" s="441" t="s">
        <v>533</v>
      </c>
    </row>
    <row r="57" spans="1:10" s="83" customFormat="1" ht="15.9" customHeight="1" thickTop="1" thickBot="1">
      <c r="A57" s="459" t="s">
        <v>181</v>
      </c>
      <c r="B57" s="638">
        <f>'Data Sheet'!B40</f>
        <v>0</v>
      </c>
      <c r="C57" s="638"/>
      <c r="D57" s="313">
        <f>'FY26-27 FEE Worksheet'!K36</f>
        <v>50243</v>
      </c>
      <c r="E57" s="415" t="s">
        <v>178</v>
      </c>
      <c r="F57" s="367">
        <f t="shared" si="8"/>
        <v>0</v>
      </c>
      <c r="H57" s="658"/>
      <c r="I57" s="462" t="s">
        <v>539</v>
      </c>
      <c r="J57" s="441" t="s">
        <v>534</v>
      </c>
    </row>
    <row r="58" spans="1:10" s="83" customFormat="1" ht="15.9" customHeight="1" thickTop="1" thickBot="1">
      <c r="A58" s="459" t="s">
        <v>182</v>
      </c>
      <c r="B58" s="638">
        <f>'Data Sheet'!B41</f>
        <v>0</v>
      </c>
      <c r="C58" s="638"/>
      <c r="D58" s="313">
        <f>'FY26-27 FEE Worksheet'!K37</f>
        <v>83740</v>
      </c>
      <c r="E58" s="415" t="s">
        <v>178</v>
      </c>
      <c r="F58" s="367">
        <f t="shared" si="8"/>
        <v>0</v>
      </c>
      <c r="H58" s="658"/>
      <c r="I58" s="462" t="s">
        <v>540</v>
      </c>
      <c r="J58" s="441" t="s">
        <v>535</v>
      </c>
    </row>
    <row r="59" spans="1:10" s="83" customFormat="1" ht="15.9" customHeight="1" thickTop="1">
      <c r="A59" s="459" t="s">
        <v>183</v>
      </c>
      <c r="B59" s="638">
        <f>'Data Sheet'!B42</f>
        <v>0</v>
      </c>
      <c r="C59" s="638"/>
      <c r="D59" s="313">
        <f>'FY26-27 FEE Worksheet'!K38</f>
        <v>167481</v>
      </c>
      <c r="E59" s="415" t="s">
        <v>178</v>
      </c>
      <c r="F59" s="367">
        <f t="shared" si="8"/>
        <v>0</v>
      </c>
      <c r="H59" s="658"/>
      <c r="I59" s="461"/>
    </row>
    <row r="60" spans="1:10" s="83" customFormat="1" ht="15.9" customHeight="1" thickBot="1">
      <c r="A60" s="459" t="s">
        <v>184</v>
      </c>
      <c r="B60" s="638">
        <f>'Data Sheet'!B43</f>
        <v>0</v>
      </c>
      <c r="C60" s="638"/>
      <c r="D60" s="313">
        <f>'FY26-27 FEE Worksheet'!K39</f>
        <v>267968</v>
      </c>
      <c r="E60" s="415" t="s">
        <v>178</v>
      </c>
      <c r="F60" s="367">
        <f t="shared" si="8"/>
        <v>0</v>
      </c>
      <c r="H60" s="659"/>
      <c r="I60" s="463"/>
    </row>
    <row r="61" spans="1:10" s="83" customFormat="1" ht="15.9" customHeight="1" thickTop="1">
      <c r="A61" s="459"/>
      <c r="B61" s="415"/>
      <c r="C61" s="433"/>
      <c r="D61" s="415"/>
      <c r="E61" s="464" t="s">
        <v>185</v>
      </c>
      <c r="F61" s="368">
        <f>SUM(F49:F60)</f>
        <v>0</v>
      </c>
      <c r="H61" s="84"/>
    </row>
    <row r="62" spans="1:10" s="83" customFormat="1" ht="15.9" customHeight="1" thickBot="1">
      <c r="A62" s="454" t="s">
        <v>186</v>
      </c>
      <c r="B62" s="667" t="s">
        <v>147</v>
      </c>
      <c r="C62" s="667"/>
      <c r="D62" s="415"/>
      <c r="E62" s="415"/>
      <c r="F62" s="417"/>
      <c r="H62" s="438"/>
    </row>
    <row r="63" spans="1:10" s="83" customFormat="1" ht="15.9" customHeight="1" thickTop="1">
      <c r="A63" s="439" t="s">
        <v>42</v>
      </c>
      <c r="B63" s="638">
        <f>'Data Sheet'!B45</f>
        <v>0</v>
      </c>
      <c r="C63" s="638"/>
      <c r="D63" s="375">
        <f>'FY26-27 FEE Worksheet'!K41</f>
        <v>8374</v>
      </c>
      <c r="E63" s="415" t="s">
        <v>178</v>
      </c>
      <c r="F63" s="367">
        <f>ROUND(B63*D63,0)</f>
        <v>0</v>
      </c>
      <c r="H63" s="660" t="s">
        <v>187</v>
      </c>
      <c r="I63" s="660" t="s">
        <v>531</v>
      </c>
      <c r="J63" s="660" t="s">
        <v>544</v>
      </c>
    </row>
    <row r="64" spans="1:10" s="83" customFormat="1" ht="15.9" customHeight="1">
      <c r="A64" s="439" t="s">
        <v>188</v>
      </c>
      <c r="B64" s="638">
        <f>'Data Sheet'!B46</f>
        <v>0</v>
      </c>
      <c r="C64" s="638"/>
      <c r="D64" s="375">
        <f>'FY26-27 FEE Worksheet'!K42</f>
        <v>16747</v>
      </c>
      <c r="E64" s="415" t="s">
        <v>178</v>
      </c>
      <c r="F64" s="367">
        <f t="shared" ref="F64:F65" si="9">ROUND(B64*D64,0)</f>
        <v>0</v>
      </c>
      <c r="H64" s="655"/>
      <c r="I64" s="655"/>
      <c r="J64" s="655"/>
    </row>
    <row r="65" spans="1:16" s="83" customFormat="1" ht="15.9" customHeight="1" thickBot="1">
      <c r="A65" s="439" t="s">
        <v>54</v>
      </c>
      <c r="B65" s="639">
        <f>'Data Sheet'!B47</f>
        <v>0</v>
      </c>
      <c r="C65" s="639"/>
      <c r="D65" s="379">
        <f>'FY26-27 FEE Worksheet'!K43</f>
        <v>26796</v>
      </c>
      <c r="E65" s="415" t="s">
        <v>178</v>
      </c>
      <c r="F65" s="367">
        <f t="shared" si="9"/>
        <v>0</v>
      </c>
      <c r="G65" s="440"/>
      <c r="H65" s="656"/>
      <c r="I65" s="656"/>
      <c r="J65" s="656"/>
    </row>
    <row r="66" spans="1:16" s="83" customFormat="1" ht="15.9" customHeight="1" thickTop="1">
      <c r="A66" s="439"/>
      <c r="B66" s="466"/>
      <c r="C66" s="465"/>
      <c r="D66" s="415"/>
      <c r="E66" s="464" t="s">
        <v>189</v>
      </c>
      <c r="F66" s="369">
        <f>SUM(F63:F65)</f>
        <v>0</v>
      </c>
      <c r="G66" s="440"/>
      <c r="H66" s="84"/>
    </row>
    <row r="67" spans="1:16" s="83" customFormat="1" ht="15.9" customHeight="1" thickBot="1">
      <c r="A67" s="442"/>
      <c r="B67" s="467"/>
      <c r="C67" s="664" t="s">
        <v>190</v>
      </c>
      <c r="D67" s="664"/>
      <c r="E67" s="664"/>
      <c r="F67" s="366">
        <f>SUM(F66,F61,F47)</f>
        <v>0</v>
      </c>
      <c r="G67" s="440"/>
      <c r="H67" s="84"/>
    </row>
    <row r="68" spans="1:16" s="83" customFormat="1" ht="15.9" customHeight="1" thickTop="1" thickBot="1">
      <c r="A68" s="468" t="s">
        <v>191</v>
      </c>
      <c r="B68" s="415"/>
      <c r="C68" s="433"/>
      <c r="D68" s="415"/>
      <c r="E68" s="415"/>
      <c r="F68" s="457"/>
      <c r="H68" s="84"/>
      <c r="L68" s="83" t="s">
        <v>128</v>
      </c>
    </row>
    <row r="69" spans="1:16" s="83" customFormat="1" ht="15.9" customHeight="1" thickTop="1" thickBot="1">
      <c r="A69" s="435" t="s">
        <v>113</v>
      </c>
      <c r="B69" s="437" t="s">
        <v>114</v>
      </c>
      <c r="C69" s="435" t="s">
        <v>115</v>
      </c>
      <c r="D69" s="632" t="s">
        <v>116</v>
      </c>
      <c r="E69" s="633"/>
      <c r="F69" s="435" t="s">
        <v>117</v>
      </c>
      <c r="H69" s="438"/>
      <c r="I69" s="451"/>
      <c r="P69" s="83" t="s">
        <v>568</v>
      </c>
    </row>
    <row r="70" spans="1:16" s="83" customFormat="1" ht="15.9" customHeight="1" thickTop="1">
      <c r="A70" s="439" t="s">
        <v>148</v>
      </c>
      <c r="B70" s="362">
        <f>B72+B71</f>
        <v>0</v>
      </c>
      <c r="C70" s="379">
        <v>191</v>
      </c>
      <c r="D70" s="634" t="s">
        <v>178</v>
      </c>
      <c r="E70" s="634"/>
      <c r="F70" s="319">
        <f>ROUND(B70*C70,0)</f>
        <v>0</v>
      </c>
      <c r="H70" s="661" t="s">
        <v>543</v>
      </c>
      <c r="I70" s="452" t="s">
        <v>151</v>
      </c>
      <c r="K70" t="s">
        <v>152</v>
      </c>
      <c r="L70"/>
      <c r="M70"/>
      <c r="N70"/>
      <c r="O70"/>
      <c r="P70" s="329" t="s">
        <v>569</v>
      </c>
    </row>
    <row r="71" spans="1:16" s="83" customFormat="1" ht="15.9" customHeight="1">
      <c r="A71" s="439" t="s">
        <v>42</v>
      </c>
      <c r="B71" s="362">
        <f>'Data Sheet'!B49</f>
        <v>0</v>
      </c>
      <c r="C71" s="379">
        <f>P74</f>
        <v>787.3178999999999</v>
      </c>
      <c r="D71" s="635" t="s">
        <v>155</v>
      </c>
      <c r="E71" s="635"/>
      <c r="F71" s="367">
        <f>ROUND(B71*C71,0)</f>
        <v>0</v>
      </c>
      <c r="H71" s="658"/>
      <c r="I71" s="630" t="s">
        <v>156</v>
      </c>
      <c r="K71" s="306" t="s">
        <v>157</v>
      </c>
      <c r="L71" s="306" t="s">
        <v>158</v>
      </c>
      <c r="M71" s="306" t="s">
        <v>159</v>
      </c>
      <c r="N71" s="306" t="s">
        <v>160</v>
      </c>
      <c r="O71" s="306" t="s">
        <v>161</v>
      </c>
      <c r="P71" s="306" t="s">
        <v>162</v>
      </c>
    </row>
    <row r="72" spans="1:16" s="83" customFormat="1" ht="15.9" customHeight="1" thickBot="1">
      <c r="A72" s="439" t="s">
        <v>188</v>
      </c>
      <c r="B72" s="362">
        <f>'Data Sheet'!B50</f>
        <v>0</v>
      </c>
      <c r="C72" s="379">
        <f>P75</f>
        <v>1077.1161999999999</v>
      </c>
      <c r="D72" s="635" t="s">
        <v>155</v>
      </c>
      <c r="E72" s="635"/>
      <c r="F72" s="367">
        <f>ROUND(B72*C72,0)</f>
        <v>0</v>
      </c>
      <c r="H72" s="659"/>
      <c r="I72" s="631"/>
      <c r="K72" s="307" t="s">
        <v>164</v>
      </c>
      <c r="L72" s="308">
        <v>237.59</v>
      </c>
      <c r="M72" s="308">
        <v>246.62</v>
      </c>
      <c r="N72" s="308">
        <f>SUM(L72:M72)</f>
        <v>484.21000000000004</v>
      </c>
      <c r="O72" s="308">
        <f>N72*0.09</f>
        <v>43.578900000000004</v>
      </c>
      <c r="P72" s="309">
        <f>SUM(N72:O72)</f>
        <v>527.78890000000001</v>
      </c>
    </row>
    <row r="73" spans="1:16" s="83" customFormat="1" ht="15.9" customHeight="1" thickTop="1">
      <c r="A73" s="468" t="s">
        <v>192</v>
      </c>
      <c r="B73" s="415"/>
      <c r="F73" s="457"/>
      <c r="H73" s="84"/>
      <c r="K73" s="310" t="s">
        <v>166</v>
      </c>
      <c r="L73" s="308">
        <v>287.98</v>
      </c>
      <c r="M73" s="308">
        <v>246.62</v>
      </c>
      <c r="N73" s="308">
        <f t="shared" ref="N73:N74" si="10">SUM(L73:M73)</f>
        <v>534.6</v>
      </c>
      <c r="O73" s="308">
        <f t="shared" ref="O73:O75" si="11">N73*0.09</f>
        <v>48.113999999999997</v>
      </c>
      <c r="P73" s="309">
        <f t="shared" ref="P73:P75" si="12">SUM(N73:O73)</f>
        <v>582.71400000000006</v>
      </c>
    </row>
    <row r="74" spans="1:16" s="83" customFormat="1" ht="15.9" customHeight="1" thickBot="1">
      <c r="A74" s="662" t="s">
        <v>193</v>
      </c>
      <c r="B74" s="663"/>
      <c r="C74" s="648" t="s">
        <v>194</v>
      </c>
      <c r="D74" s="648"/>
      <c r="E74" s="469"/>
      <c r="F74" s="457"/>
      <c r="H74" s="438"/>
      <c r="K74" s="311">
        <v>1</v>
      </c>
      <c r="L74" s="308">
        <v>475.69</v>
      </c>
      <c r="M74" s="308">
        <v>246.62</v>
      </c>
      <c r="N74" s="308">
        <f t="shared" si="10"/>
        <v>722.31</v>
      </c>
      <c r="O74" s="308">
        <f t="shared" si="11"/>
        <v>65.007899999999992</v>
      </c>
      <c r="P74" s="309">
        <f t="shared" si="12"/>
        <v>787.3178999999999</v>
      </c>
    </row>
    <row r="75" spans="1:16" s="83" customFormat="1" ht="15.9" customHeight="1" thickTop="1">
      <c r="A75" s="459" t="s">
        <v>195</v>
      </c>
      <c r="B75" s="362">
        <f>'Data Sheet'!B52</f>
        <v>0</v>
      </c>
      <c r="C75" s="375">
        <f>D54*0.8</f>
        <v>6699.2000000000007</v>
      </c>
      <c r="D75" s="415" t="s">
        <v>178</v>
      </c>
      <c r="E75" s="371">
        <f>ROUND(B75*C75,0)</f>
        <v>0</v>
      </c>
      <c r="F75" s="417"/>
      <c r="H75" s="654" t="s">
        <v>187</v>
      </c>
      <c r="I75" s="654" t="s">
        <v>531</v>
      </c>
      <c r="J75" s="654" t="s">
        <v>545</v>
      </c>
      <c r="K75" s="312">
        <v>1.5</v>
      </c>
      <c r="L75" s="308">
        <v>741.56</v>
      </c>
      <c r="M75" s="308">
        <v>246.62</v>
      </c>
      <c r="N75" s="308">
        <f>SUM(L75:M75)</f>
        <v>988.18</v>
      </c>
      <c r="O75" s="308">
        <f t="shared" si="11"/>
        <v>88.936199999999985</v>
      </c>
      <c r="P75" s="309">
        <f t="shared" si="12"/>
        <v>1077.1161999999999</v>
      </c>
    </row>
    <row r="76" spans="1:16" s="83" customFormat="1" ht="15.9" customHeight="1">
      <c r="A76" s="459" t="s">
        <v>196</v>
      </c>
      <c r="B76" s="362">
        <f>'Data Sheet'!B53</f>
        <v>0</v>
      </c>
      <c r="C76" s="375">
        <f>D55*0.8</f>
        <v>13397.6</v>
      </c>
      <c r="D76" s="415" t="s">
        <v>178</v>
      </c>
      <c r="E76" s="371">
        <f>ROUND(B76*C76,0)</f>
        <v>0</v>
      </c>
      <c r="F76" s="417"/>
      <c r="H76" s="655"/>
      <c r="I76" s="655"/>
      <c r="J76" s="655"/>
    </row>
    <row r="77" spans="1:16" s="83" customFormat="1" ht="15.9" customHeight="1">
      <c r="A77" s="459" t="s">
        <v>197</v>
      </c>
      <c r="B77" s="362">
        <f>'Data Sheet'!B54</f>
        <v>0</v>
      </c>
      <c r="C77" s="375">
        <f>D56*0.8</f>
        <v>21436.800000000003</v>
      </c>
      <c r="D77" s="415" t="s">
        <v>178</v>
      </c>
      <c r="E77" s="371">
        <f>ROUND(B77*C77,0)</f>
        <v>0</v>
      </c>
      <c r="F77" s="417"/>
      <c r="H77" s="655"/>
      <c r="I77" s="655"/>
      <c r="J77" s="655"/>
    </row>
    <row r="78" spans="1:16" s="83" customFormat="1" ht="15.9" customHeight="1" thickBot="1">
      <c r="A78" s="459" t="s">
        <v>198</v>
      </c>
      <c r="B78" s="362">
        <f>'Data Sheet'!B55</f>
        <v>0</v>
      </c>
      <c r="C78" s="375">
        <f>D57*0.8</f>
        <v>40194.400000000001</v>
      </c>
      <c r="D78" s="415" t="s">
        <v>178</v>
      </c>
      <c r="E78" s="371">
        <f>ROUND(B78*C78,0)</f>
        <v>0</v>
      </c>
      <c r="F78" s="417"/>
      <c r="H78" s="656"/>
      <c r="I78" s="656"/>
      <c r="J78" s="656"/>
    </row>
    <row r="79" spans="1:16" s="83" customFormat="1" ht="15.9" customHeight="1" thickTop="1" thickBot="1">
      <c r="A79" s="645" t="s">
        <v>199</v>
      </c>
      <c r="B79" s="646"/>
      <c r="C79" s="646"/>
      <c r="D79" s="646"/>
      <c r="E79" s="647"/>
      <c r="F79" s="418">
        <f>SUM(F70:F72,E75:E78)</f>
        <v>0</v>
      </c>
      <c r="G79" s="440"/>
      <c r="H79" s="84"/>
    </row>
    <row r="80" spans="1:16" s="83" customFormat="1" ht="15.9" customHeight="1" thickTop="1" thickBot="1">
      <c r="A80" s="642" t="s">
        <v>200</v>
      </c>
      <c r="B80" s="643"/>
      <c r="C80" s="643"/>
      <c r="D80" s="643"/>
      <c r="E80" s="643"/>
      <c r="F80" s="644"/>
      <c r="H80" s="84"/>
    </row>
    <row r="81" spans="1:10" s="83" customFormat="1" ht="15.9" customHeight="1" thickTop="1" thickBot="1">
      <c r="A81" s="435" t="s">
        <v>113</v>
      </c>
      <c r="B81" s="435" t="s">
        <v>114</v>
      </c>
      <c r="C81" s="435" t="s">
        <v>201</v>
      </c>
      <c r="D81" s="632" t="s">
        <v>116</v>
      </c>
      <c r="E81" s="633"/>
      <c r="F81" s="435" t="s">
        <v>117</v>
      </c>
      <c r="H81" s="438"/>
    </row>
    <row r="82" spans="1:10" s="83" customFormat="1" ht="15.9" customHeight="1" thickTop="1">
      <c r="A82" s="455" t="s">
        <v>202</v>
      </c>
      <c r="B82" s="360">
        <f>'Data Sheet'!B15</f>
        <v>0</v>
      </c>
      <c r="C82" s="380">
        <f>'FY26-27 FEE Worksheet'!K58</f>
        <v>10358</v>
      </c>
      <c r="D82" s="634" t="s">
        <v>172</v>
      </c>
      <c r="E82" s="665"/>
      <c r="F82" s="319">
        <f t="shared" ref="F82:F85" si="13">ROUND(B82*C82,0)</f>
        <v>0</v>
      </c>
      <c r="H82" s="654" t="s">
        <v>203</v>
      </c>
      <c r="I82" s="694" t="s">
        <v>546</v>
      </c>
      <c r="J82" s="694" t="s">
        <v>547</v>
      </c>
    </row>
    <row r="83" spans="1:10" s="83" customFormat="1" ht="15.9" customHeight="1">
      <c r="A83" s="470" t="s">
        <v>204</v>
      </c>
      <c r="B83" s="362">
        <f>'Data Sheet'!B14</f>
        <v>0</v>
      </c>
      <c r="C83" s="313">
        <f>'FY26-27 FEE Worksheet'!K59</f>
        <v>12184</v>
      </c>
      <c r="D83" s="635" t="s">
        <v>172</v>
      </c>
      <c r="E83" s="641"/>
      <c r="F83" s="367">
        <f t="shared" si="13"/>
        <v>0</v>
      </c>
      <c r="H83" s="655"/>
      <c r="I83" s="695"/>
      <c r="J83" s="695"/>
    </row>
    <row r="84" spans="1:10" s="83" customFormat="1" ht="15.9" customHeight="1">
      <c r="A84" s="455" t="s">
        <v>205</v>
      </c>
      <c r="B84" s="362">
        <f>'Data Sheet'!B19</f>
        <v>0</v>
      </c>
      <c r="C84" s="313">
        <f>'FY26-27 FEE Worksheet'!K60</f>
        <v>0</v>
      </c>
      <c r="D84" s="635" t="s">
        <v>206</v>
      </c>
      <c r="E84" s="641"/>
      <c r="F84" s="367">
        <f t="shared" si="13"/>
        <v>0</v>
      </c>
      <c r="H84" s="655"/>
      <c r="I84" s="695"/>
      <c r="J84" s="695"/>
    </row>
    <row r="85" spans="1:10" s="83" customFormat="1" ht="15.9" customHeight="1" thickBot="1">
      <c r="A85" s="455" t="s">
        <v>207</v>
      </c>
      <c r="B85" s="362">
        <f>'Data Sheet'!B17</f>
        <v>0</v>
      </c>
      <c r="C85" s="313">
        <f>'FY26-27 FEE Worksheet'!K62</f>
        <v>9506</v>
      </c>
      <c r="D85" s="635" t="s">
        <v>206</v>
      </c>
      <c r="E85" s="641"/>
      <c r="F85" s="367">
        <f t="shared" si="13"/>
        <v>0</v>
      </c>
      <c r="H85" s="655"/>
      <c r="I85" s="660"/>
      <c r="J85" s="660"/>
    </row>
    <row r="86" spans="1:10" s="83" customFormat="1" ht="15.9" customHeight="1" thickTop="1" thickBot="1">
      <c r="A86" s="471" t="s">
        <v>208</v>
      </c>
      <c r="B86" s="333"/>
      <c r="C86" s="313"/>
      <c r="E86" s="415"/>
      <c r="F86" s="370"/>
      <c r="H86" s="458"/>
    </row>
    <row r="87" spans="1:10" s="83" customFormat="1" ht="15.9" customHeight="1" thickTop="1">
      <c r="A87" s="468" t="s">
        <v>209</v>
      </c>
      <c r="B87" s="362">
        <f>'Data Sheet'!B58</f>
        <v>0</v>
      </c>
      <c r="C87" s="313">
        <f>'FY26-27 FEE Worksheet'!K67</f>
        <v>12184</v>
      </c>
      <c r="D87" s="635" t="s">
        <v>178</v>
      </c>
      <c r="E87" s="641"/>
      <c r="F87" s="367">
        <f t="shared" ref="F87:F93" si="14">ROUND(B87*C87,0)</f>
        <v>0</v>
      </c>
      <c r="H87" s="654" t="s">
        <v>210</v>
      </c>
      <c r="I87" s="654" t="s">
        <v>546</v>
      </c>
      <c r="J87" s="654" t="s">
        <v>548</v>
      </c>
    </row>
    <row r="88" spans="1:10" s="83" customFormat="1" ht="15.9" customHeight="1">
      <c r="A88" s="468" t="s">
        <v>211</v>
      </c>
      <c r="B88" s="362">
        <f>'Data Sheet'!B62</f>
        <v>0</v>
      </c>
      <c r="C88" s="313">
        <f>'FY26-27 FEE Worksheet'!K68</f>
        <v>24370</v>
      </c>
      <c r="D88" s="635" t="s">
        <v>178</v>
      </c>
      <c r="E88" s="641"/>
      <c r="F88" s="367">
        <f t="shared" si="14"/>
        <v>0</v>
      </c>
      <c r="H88" s="655"/>
      <c r="I88" s="655"/>
      <c r="J88" s="655"/>
    </row>
    <row r="89" spans="1:10" s="83" customFormat="1" ht="15.9" customHeight="1">
      <c r="A89" s="459" t="s">
        <v>212</v>
      </c>
      <c r="B89" s="362">
        <f>'Data Sheet'!B66</f>
        <v>0</v>
      </c>
      <c r="C89" s="313">
        <f>'FY26-27 FEE Worksheet'!K69</f>
        <v>38991</v>
      </c>
      <c r="D89" s="635" t="s">
        <v>178</v>
      </c>
      <c r="E89" s="641"/>
      <c r="F89" s="367">
        <f t="shared" si="14"/>
        <v>0</v>
      </c>
      <c r="H89" s="655"/>
      <c r="I89" s="655"/>
      <c r="J89" s="655"/>
    </row>
    <row r="90" spans="1:10" s="83" customFormat="1" ht="15.9" customHeight="1">
      <c r="A90" s="459" t="s">
        <v>213</v>
      </c>
      <c r="B90" s="362">
        <f>'Data Sheet'!B70</f>
        <v>0</v>
      </c>
      <c r="C90" s="313">
        <f>'FY26-27 FEE Worksheet'!K70</f>
        <v>73111</v>
      </c>
      <c r="D90" s="635" t="s">
        <v>178</v>
      </c>
      <c r="E90" s="641"/>
      <c r="F90" s="367">
        <f t="shared" si="14"/>
        <v>0</v>
      </c>
      <c r="H90" s="655"/>
      <c r="I90" s="655"/>
      <c r="J90" s="655"/>
    </row>
    <row r="91" spans="1:10" s="83" customFormat="1" ht="15.9" customHeight="1">
      <c r="A91" s="459" t="s">
        <v>214</v>
      </c>
      <c r="B91" s="362">
        <f>'Data Sheet'!B74</f>
        <v>0</v>
      </c>
      <c r="C91" s="313">
        <f>'FY26-27 FEE Worksheet'!K71</f>
        <v>121853</v>
      </c>
      <c r="D91" s="635" t="s">
        <v>178</v>
      </c>
      <c r="E91" s="641"/>
      <c r="F91" s="367">
        <f t="shared" si="14"/>
        <v>0</v>
      </c>
      <c r="H91" s="655"/>
      <c r="I91" s="655"/>
      <c r="J91" s="655"/>
    </row>
    <row r="92" spans="1:10" s="83" customFormat="1" ht="15.9" customHeight="1">
      <c r="A92" s="459" t="s">
        <v>215</v>
      </c>
      <c r="B92" s="362">
        <f>'Data Sheet'!B78</f>
        <v>0</v>
      </c>
      <c r="C92" s="313">
        <f>'FY26-27 FEE Worksheet'!K72</f>
        <v>243705</v>
      </c>
      <c r="D92" s="635" t="s">
        <v>178</v>
      </c>
      <c r="E92" s="641"/>
      <c r="F92" s="367">
        <f t="shared" si="14"/>
        <v>0</v>
      </c>
      <c r="H92" s="655"/>
      <c r="I92" s="655"/>
      <c r="J92" s="655"/>
    </row>
    <row r="93" spans="1:10" s="83" customFormat="1" ht="15.9" customHeight="1">
      <c r="A93" s="459" t="s">
        <v>216</v>
      </c>
      <c r="B93" s="362">
        <f>'Data Sheet'!B82</f>
        <v>0</v>
      </c>
      <c r="C93" s="313">
        <f>'FY26-27 FEE Worksheet'!K73</f>
        <v>389930</v>
      </c>
      <c r="D93" s="635" t="s">
        <v>178</v>
      </c>
      <c r="E93" s="641"/>
      <c r="F93" s="367">
        <f t="shared" si="14"/>
        <v>0</v>
      </c>
      <c r="H93" s="655"/>
      <c r="I93" s="655"/>
      <c r="J93" s="655"/>
    </row>
    <row r="94" spans="1:10" s="83" customFormat="1" ht="15.9" customHeight="1">
      <c r="A94" s="459"/>
      <c r="B94" s="381"/>
      <c r="C94" s="313"/>
      <c r="E94" s="472"/>
      <c r="F94" s="370"/>
      <c r="H94" s="655"/>
      <c r="I94" s="655"/>
      <c r="J94" s="655"/>
    </row>
    <row r="95" spans="1:10" s="83" customFormat="1" ht="15.9" customHeight="1">
      <c r="A95" s="468" t="s">
        <v>217</v>
      </c>
      <c r="B95" s="362">
        <f>'Data Sheet'!B59</f>
        <v>0</v>
      </c>
      <c r="C95" s="313">
        <f>'FY26-27 FEE Worksheet'!L67</f>
        <v>14096</v>
      </c>
      <c r="D95" s="635" t="s">
        <v>178</v>
      </c>
      <c r="E95" s="641"/>
      <c r="F95" s="367">
        <f t="shared" ref="F95:F101" si="15">ROUND(B95*C95,0)</f>
        <v>0</v>
      </c>
      <c r="H95" s="655"/>
      <c r="I95" s="655"/>
      <c r="J95" s="655"/>
    </row>
    <row r="96" spans="1:10" s="83" customFormat="1" ht="15.9" customHeight="1">
      <c r="A96" s="468" t="s">
        <v>218</v>
      </c>
      <c r="B96" s="362">
        <f>'Data Sheet'!B63</f>
        <v>0</v>
      </c>
      <c r="C96" s="313">
        <f>'FY26-27 FEE Worksheet'!L68</f>
        <v>28193</v>
      </c>
      <c r="D96" s="635" t="s">
        <v>178</v>
      </c>
      <c r="E96" s="641"/>
      <c r="F96" s="367">
        <f t="shared" si="15"/>
        <v>0</v>
      </c>
      <c r="H96" s="655"/>
      <c r="I96" s="655"/>
      <c r="J96" s="655"/>
    </row>
    <row r="97" spans="1:10" s="83" customFormat="1" ht="15.9" customHeight="1">
      <c r="A97" s="459" t="s">
        <v>219</v>
      </c>
      <c r="B97" s="362">
        <f>'Data Sheet'!B67</f>
        <v>0</v>
      </c>
      <c r="C97" s="313">
        <f>'FY26-27 FEE Worksheet'!L69</f>
        <v>45109</v>
      </c>
      <c r="D97" s="635" t="s">
        <v>178</v>
      </c>
      <c r="E97" s="641"/>
      <c r="F97" s="367">
        <f t="shared" si="15"/>
        <v>0</v>
      </c>
      <c r="H97" s="655"/>
      <c r="I97" s="655"/>
      <c r="J97" s="655"/>
    </row>
    <row r="98" spans="1:10" s="83" customFormat="1" ht="15.9" customHeight="1">
      <c r="A98" s="459" t="s">
        <v>220</v>
      </c>
      <c r="B98" s="362">
        <f>'Data Sheet'!B71</f>
        <v>0</v>
      </c>
      <c r="C98" s="313">
        <f>'FY26-27 FEE Worksheet'!L70</f>
        <v>84580</v>
      </c>
      <c r="D98" s="635" t="s">
        <v>178</v>
      </c>
      <c r="E98" s="641"/>
      <c r="F98" s="367">
        <f t="shared" si="15"/>
        <v>0</v>
      </c>
      <c r="H98" s="655"/>
      <c r="I98" s="655"/>
      <c r="J98" s="655"/>
    </row>
    <row r="99" spans="1:10" s="83" customFormat="1" ht="15.9" customHeight="1">
      <c r="A99" s="459" t="s">
        <v>221</v>
      </c>
      <c r="B99" s="362">
        <f>'Data Sheet'!B75</f>
        <v>0</v>
      </c>
      <c r="C99" s="313">
        <f>'FY26-27 FEE Worksheet'!L71</f>
        <v>140967</v>
      </c>
      <c r="D99" s="635" t="s">
        <v>178</v>
      </c>
      <c r="E99" s="641"/>
      <c r="F99" s="367">
        <f t="shared" si="15"/>
        <v>0</v>
      </c>
      <c r="H99" s="655"/>
      <c r="I99" s="655"/>
      <c r="J99" s="655"/>
    </row>
    <row r="100" spans="1:10" s="83" customFormat="1" ht="15.9" customHeight="1">
      <c r="A100" s="459" t="s">
        <v>222</v>
      </c>
      <c r="B100" s="362">
        <f>'Data Sheet'!B79</f>
        <v>0</v>
      </c>
      <c r="C100" s="313">
        <f>'FY26-27 FEE Worksheet'!L72</f>
        <v>281934</v>
      </c>
      <c r="D100" s="635" t="s">
        <v>178</v>
      </c>
      <c r="E100" s="641"/>
      <c r="F100" s="367">
        <f t="shared" si="15"/>
        <v>0</v>
      </c>
      <c r="H100" s="655"/>
      <c r="I100" s="655"/>
      <c r="J100" s="655"/>
    </row>
    <row r="101" spans="1:10" s="83" customFormat="1" ht="15.9" customHeight="1">
      <c r="A101" s="459" t="s">
        <v>223</v>
      </c>
      <c r="B101" s="362">
        <f>'Data Sheet'!B83</f>
        <v>0</v>
      </c>
      <c r="C101" s="313">
        <f>'FY26-27 FEE Worksheet'!L73</f>
        <v>451094</v>
      </c>
      <c r="D101" s="635" t="s">
        <v>178</v>
      </c>
      <c r="E101" s="641"/>
      <c r="F101" s="367">
        <f t="shared" si="15"/>
        <v>0</v>
      </c>
      <c r="H101" s="655"/>
      <c r="I101" s="655"/>
      <c r="J101" s="655"/>
    </row>
    <row r="102" spans="1:10" s="83" customFormat="1" ht="15.9" customHeight="1">
      <c r="A102" s="459"/>
      <c r="B102" s="381"/>
      <c r="C102" s="313"/>
      <c r="E102" s="472"/>
      <c r="F102" s="370"/>
      <c r="H102" s="655"/>
      <c r="I102" s="655"/>
      <c r="J102" s="655"/>
    </row>
    <row r="103" spans="1:10" s="83" customFormat="1" ht="15.9" customHeight="1">
      <c r="A103" s="468" t="s">
        <v>224</v>
      </c>
      <c r="B103" s="362">
        <f>'Data Sheet'!B60</f>
        <v>0</v>
      </c>
      <c r="C103" s="313">
        <f>'FY26-27 FEE Worksheet'!M67</f>
        <v>18106</v>
      </c>
      <c r="D103" s="635" t="s">
        <v>178</v>
      </c>
      <c r="E103" s="641"/>
      <c r="F103" s="367">
        <f t="shared" ref="F103:F109" si="16">ROUND(B103*C103,0)</f>
        <v>0</v>
      </c>
      <c r="H103" s="655"/>
      <c r="I103" s="655"/>
      <c r="J103" s="655"/>
    </row>
    <row r="104" spans="1:10" s="83" customFormat="1" ht="15.9" customHeight="1">
      <c r="A104" s="468" t="s">
        <v>225</v>
      </c>
      <c r="B104" s="362">
        <f>'Data Sheet'!B64</f>
        <v>0</v>
      </c>
      <c r="C104" s="313">
        <f>'FY26-27 FEE Worksheet'!M68</f>
        <v>36212</v>
      </c>
      <c r="D104" s="635" t="s">
        <v>178</v>
      </c>
      <c r="E104" s="641"/>
      <c r="F104" s="367">
        <f t="shared" si="16"/>
        <v>0</v>
      </c>
      <c r="H104" s="655"/>
      <c r="I104" s="655"/>
      <c r="J104" s="655"/>
    </row>
    <row r="105" spans="1:10" s="83" customFormat="1" ht="15.9" customHeight="1">
      <c r="A105" s="459" t="s">
        <v>226</v>
      </c>
      <c r="B105" s="362">
        <f>'Data Sheet'!B68</f>
        <v>0</v>
      </c>
      <c r="C105" s="313">
        <f>'FY26-27 FEE Worksheet'!M69</f>
        <v>57942</v>
      </c>
      <c r="D105" s="635" t="s">
        <v>178</v>
      </c>
      <c r="E105" s="641"/>
      <c r="F105" s="367">
        <f t="shared" si="16"/>
        <v>0</v>
      </c>
      <c r="H105" s="655"/>
      <c r="I105" s="655"/>
      <c r="J105" s="655"/>
    </row>
    <row r="106" spans="1:10" s="83" customFormat="1" ht="15.9" customHeight="1">
      <c r="A106" s="459" t="s">
        <v>227</v>
      </c>
      <c r="B106" s="362">
        <f>'Data Sheet'!B72</f>
        <v>0</v>
      </c>
      <c r="C106" s="313">
        <f>'FY26-27 FEE Worksheet'!M70</f>
        <v>108640</v>
      </c>
      <c r="D106" s="635" t="s">
        <v>178</v>
      </c>
      <c r="E106" s="641"/>
      <c r="F106" s="367">
        <f t="shared" si="16"/>
        <v>0</v>
      </c>
      <c r="H106" s="655"/>
      <c r="I106" s="655"/>
      <c r="J106" s="655"/>
    </row>
    <row r="107" spans="1:10" s="83" customFormat="1" ht="15.9" customHeight="1">
      <c r="A107" s="459" t="s">
        <v>228</v>
      </c>
      <c r="B107" s="362">
        <f>'Data Sheet'!B76</f>
        <v>0</v>
      </c>
      <c r="C107" s="313">
        <f>'FY26-27 FEE Worksheet'!M71</f>
        <v>181071</v>
      </c>
      <c r="D107" s="635" t="s">
        <v>178</v>
      </c>
      <c r="E107" s="641"/>
      <c r="F107" s="367">
        <f t="shared" si="16"/>
        <v>0</v>
      </c>
      <c r="H107" s="655"/>
      <c r="I107" s="655"/>
      <c r="J107" s="655"/>
    </row>
    <row r="108" spans="1:10" s="83" customFormat="1" ht="15.9" customHeight="1">
      <c r="A108" s="459" t="s">
        <v>229</v>
      </c>
      <c r="B108" s="362">
        <f>'Data Sheet'!B80</f>
        <v>0</v>
      </c>
      <c r="C108" s="313">
        <f>'FY26-27 FEE Worksheet'!M72</f>
        <v>362139</v>
      </c>
      <c r="D108" s="635" t="s">
        <v>178</v>
      </c>
      <c r="E108" s="641"/>
      <c r="F108" s="367">
        <f t="shared" si="16"/>
        <v>0</v>
      </c>
      <c r="H108" s="655"/>
      <c r="I108" s="655"/>
      <c r="J108" s="655"/>
    </row>
    <row r="109" spans="1:10" s="83" customFormat="1" ht="15.9" customHeight="1" thickBot="1">
      <c r="A109" s="459" t="s">
        <v>230</v>
      </c>
      <c r="B109" s="362">
        <f>'Data Sheet'!B84</f>
        <v>0</v>
      </c>
      <c r="C109" s="313">
        <f>'FY26-27 FEE Worksheet'!M73</f>
        <v>579421</v>
      </c>
      <c r="D109" s="635" t="s">
        <v>178</v>
      </c>
      <c r="E109" s="641"/>
      <c r="F109" s="372">
        <f t="shared" si="16"/>
        <v>0</v>
      </c>
      <c r="H109" s="656"/>
      <c r="I109" s="656"/>
      <c r="J109" s="656"/>
    </row>
    <row r="110" spans="1:10" s="83" customFormat="1" ht="15.9" customHeight="1" thickTop="1" thickBot="1">
      <c r="A110" s="473"/>
      <c r="B110" s="474"/>
      <c r="C110" s="666" t="s">
        <v>231</v>
      </c>
      <c r="D110" s="666"/>
      <c r="E110" s="666"/>
      <c r="F110" s="366">
        <f>SUM(F103:F109,F95:F101,F87:F93,F82:F85)</f>
        <v>0</v>
      </c>
      <c r="G110" s="440"/>
      <c r="H110" s="84"/>
    </row>
    <row r="111" spans="1:10" s="83" customFormat="1" ht="15.9" customHeight="1" thickTop="1">
      <c r="A111" s="475" t="s">
        <v>232</v>
      </c>
      <c r="B111" s="476"/>
      <c r="C111" s="433"/>
      <c r="E111" s="472"/>
      <c r="F111" s="457"/>
      <c r="H111" s="84"/>
    </row>
    <row r="112" spans="1:10" s="83" customFormat="1" ht="15.9" customHeight="1">
      <c r="A112" s="468" t="s">
        <v>233</v>
      </c>
      <c r="B112" s="476"/>
      <c r="C112" s="433"/>
      <c r="E112" s="472"/>
      <c r="F112" s="417"/>
      <c r="H112" s="84"/>
    </row>
    <row r="113" spans="1:10" s="83" customFormat="1" ht="15.9" customHeight="1">
      <c r="A113" s="468" t="s">
        <v>234</v>
      </c>
      <c r="C113" s="477" t="s">
        <v>235</v>
      </c>
      <c r="D113" s="478">
        <f>'Data Sheet'!B87</f>
        <v>0</v>
      </c>
      <c r="E113" s="415"/>
      <c r="F113" s="457"/>
      <c r="H113" s="84"/>
    </row>
    <row r="114" spans="1:10" s="83" customFormat="1" ht="15.9" customHeight="1">
      <c r="A114" s="468" t="s">
        <v>236</v>
      </c>
      <c r="C114" s="477" t="s">
        <v>237</v>
      </c>
      <c r="D114" s="478">
        <f>'Data Sheet'!B88</f>
        <v>0</v>
      </c>
      <c r="E114" s="415"/>
      <c r="F114" s="457"/>
      <c r="H114" s="84"/>
    </row>
    <row r="115" spans="1:10" s="83" customFormat="1" ht="15.9" customHeight="1" thickBot="1">
      <c r="A115" s="468" t="s">
        <v>238</v>
      </c>
      <c r="C115" s="477" t="s">
        <v>239</v>
      </c>
      <c r="D115" s="478">
        <f>'Data Sheet'!B89</f>
        <v>0</v>
      </c>
      <c r="E115" s="415"/>
      <c r="F115" s="457"/>
      <c r="H115" s="438"/>
    </row>
    <row r="116" spans="1:10" s="83" customFormat="1" ht="15.9" customHeight="1" thickTop="1" thickBot="1">
      <c r="A116" s="439"/>
      <c r="C116" s="415"/>
      <c r="E116" s="479" t="s">
        <v>240</v>
      </c>
      <c r="F116" s="419">
        <f>C87*(D113/200)*(0.83+(0.12*(D114/200))+(0.05*(D115/175)))</f>
        <v>0</v>
      </c>
      <c r="H116" s="480" t="s">
        <v>210</v>
      </c>
      <c r="I116" s="480" t="s">
        <v>546</v>
      </c>
      <c r="J116" s="480" t="s">
        <v>548</v>
      </c>
    </row>
    <row r="117" spans="1:10" s="83" customFormat="1" ht="15.9" customHeight="1" thickTop="1" thickBot="1">
      <c r="A117" s="481"/>
      <c r="C117" s="482" t="s">
        <v>241</v>
      </c>
      <c r="D117" s="483">
        <f>F116/C87</f>
        <v>0</v>
      </c>
      <c r="F117" s="484"/>
      <c r="H117" s="84"/>
    </row>
    <row r="118" spans="1:10" s="84" customFormat="1" ht="15.9" customHeight="1" thickTop="1" thickBot="1">
      <c r="A118" s="485" t="s">
        <v>570</v>
      </c>
      <c r="B118" s="615" t="s">
        <v>242</v>
      </c>
      <c r="C118" s="616"/>
      <c r="D118" s="616"/>
      <c r="E118" s="617"/>
      <c r="F118" s="486">
        <f>SUM(F110,F116,F79,F67,F38,F21)</f>
        <v>0</v>
      </c>
      <c r="G118" s="487"/>
      <c r="I118" s="487"/>
    </row>
    <row r="119" spans="1:10" s="83" customFormat="1" ht="15.9" hidden="1" customHeight="1" thickTop="1">
      <c r="A119" s="69" t="s">
        <v>243</v>
      </c>
      <c r="B119" s="488"/>
      <c r="C119" s="489"/>
      <c r="D119" s="488"/>
      <c r="E119" s="488"/>
      <c r="F119" s="69"/>
      <c r="H119" s="84"/>
    </row>
    <row r="120" spans="1:10" s="83" customFormat="1" ht="15.9" hidden="1" customHeight="1">
      <c r="A120" s="69"/>
      <c r="B120" s="488"/>
      <c r="C120" s="489"/>
      <c r="D120" s="488"/>
      <c r="E120" s="488"/>
      <c r="F120" s="69"/>
      <c r="H120" s="84"/>
    </row>
    <row r="121" spans="1:10" s="83" customFormat="1" ht="15.9" hidden="1" customHeight="1">
      <c r="A121" s="490" t="s">
        <v>244</v>
      </c>
      <c r="B121" s="652" t="s">
        <v>120</v>
      </c>
      <c r="C121" s="652"/>
      <c r="D121" s="491">
        <f>SUM(E17:F18)</f>
        <v>0</v>
      </c>
      <c r="E121" s="415"/>
      <c r="H121" s="84"/>
    </row>
    <row r="122" spans="1:10" s="83" customFormat="1" ht="15.9" hidden="1" customHeight="1">
      <c r="A122" s="84"/>
      <c r="B122" s="652" t="s">
        <v>124</v>
      </c>
      <c r="C122" s="652"/>
      <c r="D122" s="491">
        <f>SUM(E19:F20)</f>
        <v>0</v>
      </c>
      <c r="E122" s="415"/>
      <c r="H122" s="84"/>
    </row>
    <row r="123" spans="1:10" s="83" customFormat="1" ht="15.9" hidden="1" customHeight="1">
      <c r="A123" s="84"/>
      <c r="B123" s="652" t="s">
        <v>130</v>
      </c>
      <c r="C123" s="652"/>
      <c r="D123" s="491">
        <f>SUM(E24:F26,E35:E36)</f>
        <v>0</v>
      </c>
      <c r="E123" s="415"/>
      <c r="H123" s="84"/>
    </row>
    <row r="124" spans="1:10" s="83" customFormat="1" ht="15.9" hidden="1" customHeight="1">
      <c r="A124" s="84"/>
      <c r="B124" s="652" t="s">
        <v>133</v>
      </c>
      <c r="C124" s="652"/>
      <c r="D124" s="491">
        <f>SUM(E28:F33,E37)</f>
        <v>0</v>
      </c>
      <c r="E124" s="415"/>
      <c r="H124" s="84"/>
    </row>
    <row r="125" spans="1:10" s="83" customFormat="1" ht="15.9" hidden="1" customHeight="1">
      <c r="A125" s="84"/>
      <c r="B125" s="652" t="s">
        <v>150</v>
      </c>
      <c r="C125" s="652"/>
      <c r="D125" s="491">
        <f>SUM(F42:F46)</f>
        <v>0</v>
      </c>
      <c r="E125" s="415"/>
      <c r="H125" s="84"/>
    </row>
    <row r="126" spans="1:10" ht="15.9" hidden="1" customHeight="1" thickBot="1">
      <c r="A126" s="82"/>
      <c r="B126" s="652" t="s">
        <v>173</v>
      </c>
      <c r="C126" s="652"/>
      <c r="D126" s="491">
        <f>SUM(F49:F52)</f>
        <v>0</v>
      </c>
    </row>
    <row r="127" spans="1:10" ht="15.9" hidden="1" customHeight="1" thickBot="1">
      <c r="A127" s="82"/>
      <c r="B127" s="653" t="s">
        <v>245</v>
      </c>
      <c r="C127" s="653"/>
      <c r="D127" s="492">
        <f>SUM(F54:F60)</f>
        <v>0</v>
      </c>
      <c r="E127" s="103"/>
      <c r="F127" s="493"/>
    </row>
    <row r="128" spans="1:10" ht="15.9" hidden="1" customHeight="1">
      <c r="A128" s="82"/>
      <c r="B128" s="652" t="s">
        <v>187</v>
      </c>
      <c r="C128" s="652"/>
      <c r="D128" s="491">
        <f>SUM(F63:F65,F70:F72,E75:E78)</f>
        <v>0</v>
      </c>
    </row>
    <row r="129" spans="1:8" ht="15.9" hidden="1" customHeight="1">
      <c r="A129" s="82"/>
      <c r="B129" s="652" t="s">
        <v>203</v>
      </c>
      <c r="C129" s="652"/>
      <c r="D129" s="491">
        <f>SUM(F82:F85)</f>
        <v>0</v>
      </c>
    </row>
    <row r="130" spans="1:8" ht="15.9" hidden="1" customHeight="1" thickBot="1">
      <c r="A130" s="82"/>
      <c r="B130" s="652" t="s">
        <v>210</v>
      </c>
      <c r="C130" s="652"/>
      <c r="D130" s="494">
        <f>SUM(F87:F109,F116)</f>
        <v>0</v>
      </c>
    </row>
    <row r="131" spans="1:8" ht="15.9" hidden="1" customHeight="1" thickTop="1" thickBot="1">
      <c r="C131" s="495" t="s">
        <v>246</v>
      </c>
      <c r="D131" s="496">
        <f>SUM(D121:D130)</f>
        <v>0</v>
      </c>
    </row>
    <row r="132" spans="1:8" s="89" customFormat="1" ht="15.9" hidden="1" customHeight="1" thickBot="1">
      <c r="A132" s="649" t="s">
        <v>247</v>
      </c>
      <c r="B132" s="650"/>
      <c r="C132" s="650"/>
      <c r="D132" s="650"/>
      <c r="E132" s="650"/>
      <c r="F132" s="651"/>
      <c r="H132" s="497"/>
    </row>
    <row r="133" spans="1:8" ht="15.9" hidden="1" customHeight="1">
      <c r="A133" s="498" t="s">
        <v>248</v>
      </c>
      <c r="B133" s="499" t="s">
        <v>249</v>
      </c>
      <c r="C133" s="500"/>
      <c r="D133" s="499"/>
    </row>
    <row r="134" spans="1:8" ht="15.9" hidden="1" customHeight="1">
      <c r="A134" s="498" t="s">
        <v>250</v>
      </c>
      <c r="B134" s="499" t="s">
        <v>251</v>
      </c>
      <c r="C134" s="500"/>
      <c r="D134" s="499"/>
    </row>
    <row r="135" spans="1:8" ht="15.9" hidden="1" customHeight="1">
      <c r="A135" s="498" t="s">
        <v>252</v>
      </c>
      <c r="B135" s="499" t="s">
        <v>253</v>
      </c>
      <c r="C135" s="500" t="s">
        <v>254</v>
      </c>
      <c r="D135" s="499" t="s">
        <v>255</v>
      </c>
    </row>
    <row r="136" spans="1:8" ht="15.9" hidden="1" customHeight="1">
      <c r="A136" s="498" t="s">
        <v>256</v>
      </c>
      <c r="B136" s="499" t="s">
        <v>253</v>
      </c>
      <c r="C136" s="500" t="s">
        <v>257</v>
      </c>
      <c r="D136" s="499"/>
    </row>
    <row r="137" spans="1:8" ht="15.9" hidden="1" customHeight="1" thickBot="1">
      <c r="A137" s="498" t="s">
        <v>258</v>
      </c>
      <c r="B137" s="499" t="s">
        <v>259</v>
      </c>
      <c r="C137" s="500" t="s">
        <v>260</v>
      </c>
      <c r="D137" s="499" t="s">
        <v>261</v>
      </c>
    </row>
    <row r="138" spans="1:8" ht="16.2" hidden="1" thickBot="1">
      <c r="A138" s="627" t="s">
        <v>262</v>
      </c>
      <c r="B138" s="628"/>
      <c r="C138" s="628"/>
      <c r="D138" s="628"/>
      <c r="E138" s="628"/>
      <c r="F138" s="629"/>
    </row>
    <row r="139" spans="1:8" hidden="1">
      <c r="A139" s="618"/>
      <c r="B139" s="619"/>
      <c r="C139" s="619"/>
      <c r="D139" s="619"/>
      <c r="E139" s="619"/>
      <c r="F139" s="620"/>
    </row>
    <row r="140" spans="1:8" hidden="1">
      <c r="A140" s="621"/>
      <c r="B140" s="622"/>
      <c r="C140" s="622"/>
      <c r="D140" s="622"/>
      <c r="E140" s="622"/>
      <c r="F140" s="623"/>
    </row>
    <row r="141" spans="1:8" hidden="1">
      <c r="A141" s="621"/>
      <c r="B141" s="622"/>
      <c r="C141" s="622"/>
      <c r="D141" s="622"/>
      <c r="E141" s="622"/>
      <c r="F141" s="623"/>
    </row>
    <row r="142" spans="1:8" hidden="1">
      <c r="A142" s="621"/>
      <c r="B142" s="622"/>
      <c r="C142" s="622"/>
      <c r="D142" s="622"/>
      <c r="E142" s="622"/>
      <c r="F142" s="623"/>
    </row>
    <row r="143" spans="1:8" hidden="1">
      <c r="A143" s="621"/>
      <c r="B143" s="622"/>
      <c r="C143" s="622"/>
      <c r="D143" s="622"/>
      <c r="E143" s="622"/>
      <c r="F143" s="623"/>
    </row>
    <row r="144" spans="1:8" hidden="1">
      <c r="A144" s="621"/>
      <c r="B144" s="622"/>
      <c r="C144" s="622"/>
      <c r="D144" s="622"/>
      <c r="E144" s="622"/>
      <c r="F144" s="623"/>
    </row>
    <row r="145" spans="1:6" hidden="1">
      <c r="A145" s="621"/>
      <c r="B145" s="622"/>
      <c r="C145" s="622"/>
      <c r="D145" s="622"/>
      <c r="E145" s="622"/>
      <c r="F145" s="623"/>
    </row>
    <row r="146" spans="1:6" hidden="1">
      <c r="A146" s="621"/>
      <c r="B146" s="622"/>
      <c r="C146" s="622"/>
      <c r="D146" s="622"/>
      <c r="E146" s="622"/>
      <c r="F146" s="623"/>
    </row>
    <row r="147" spans="1:6" hidden="1">
      <c r="A147" s="621"/>
      <c r="B147" s="622"/>
      <c r="C147" s="622"/>
      <c r="D147" s="622"/>
      <c r="E147" s="622"/>
      <c r="F147" s="623"/>
    </row>
    <row r="148" spans="1:6" hidden="1">
      <c r="A148" s="621"/>
      <c r="B148" s="622"/>
      <c r="C148" s="622"/>
      <c r="D148" s="622"/>
      <c r="E148" s="622"/>
      <c r="F148" s="623"/>
    </row>
    <row r="149" spans="1:6" hidden="1">
      <c r="A149" s="621"/>
      <c r="B149" s="622"/>
      <c r="C149" s="622"/>
      <c r="D149" s="622"/>
      <c r="E149" s="622"/>
      <c r="F149" s="623"/>
    </row>
    <row r="150" spans="1:6" ht="14.4" hidden="1" thickBot="1">
      <c r="A150" s="624"/>
      <c r="B150" s="625"/>
      <c r="C150" s="625"/>
      <c r="D150" s="625"/>
      <c r="E150" s="625"/>
      <c r="F150" s="626"/>
    </row>
    <row r="151" spans="1:6" hidden="1"/>
    <row r="152" spans="1:6" ht="14.4" thickTop="1"/>
  </sheetData>
  <sheetProtection algorithmName="SHA-512" hashValue="SEXjtcOcknAbGmk9b3szxYPrcuZXCAKsw5VbBPExx0QCY2wQz+SSLPUz5BHVlIfivvmtXo4e3+bAOYhz/w323w==" saltValue="3frZQ9QQzzftBM4pcsee3w==" spinCount="100000" sheet="1" objects="1" scenarios="1" selectLockedCells="1"/>
  <mergeCells count="132">
    <mergeCell ref="I87:I109"/>
    <mergeCell ref="J87:J109"/>
    <mergeCell ref="I49:I52"/>
    <mergeCell ref="J49:J52"/>
    <mergeCell ref="I63:I65"/>
    <mergeCell ref="J63:J65"/>
    <mergeCell ref="I75:I78"/>
    <mergeCell ref="J75:J78"/>
    <mergeCell ref="I82:I85"/>
    <mergeCell ref="J82:J85"/>
    <mergeCell ref="I17:I18"/>
    <mergeCell ref="I19:I20"/>
    <mergeCell ref="I24:I26"/>
    <mergeCell ref="I28:I33"/>
    <mergeCell ref="I35:I36"/>
    <mergeCell ref="J17:J18"/>
    <mergeCell ref="J19:J20"/>
    <mergeCell ref="J24:J26"/>
    <mergeCell ref="J28:J33"/>
    <mergeCell ref="J35:J36"/>
    <mergeCell ref="A1:F1"/>
    <mergeCell ref="A2:F2"/>
    <mergeCell ref="A39:F39"/>
    <mergeCell ref="B13:C13"/>
    <mergeCell ref="E13:F13"/>
    <mergeCell ref="A27:D27"/>
    <mergeCell ref="A34:D34"/>
    <mergeCell ref="A38:E38"/>
    <mergeCell ref="E23:F23"/>
    <mergeCell ref="E26:F26"/>
    <mergeCell ref="E28:F28"/>
    <mergeCell ref="B3:F3"/>
    <mergeCell ref="B4:F4"/>
    <mergeCell ref="E16:F16"/>
    <mergeCell ref="E17:F17"/>
    <mergeCell ref="E18:F18"/>
    <mergeCell ref="E19:F19"/>
    <mergeCell ref="E20:F20"/>
    <mergeCell ref="H24:H26"/>
    <mergeCell ref="H28:H33"/>
    <mergeCell ref="H35:H36"/>
    <mergeCell ref="H42:H46"/>
    <mergeCell ref="B5:C5"/>
    <mergeCell ref="B6:C6"/>
    <mergeCell ref="B7:C7"/>
    <mergeCell ref="H17:H18"/>
    <mergeCell ref="H19:H20"/>
    <mergeCell ref="D21:E21"/>
    <mergeCell ref="E31:F31"/>
    <mergeCell ref="E32:F32"/>
    <mergeCell ref="E33:F33"/>
    <mergeCell ref="E24:F24"/>
    <mergeCell ref="E25:F25"/>
    <mergeCell ref="E29:F29"/>
    <mergeCell ref="E30:F30"/>
    <mergeCell ref="B40:C40"/>
    <mergeCell ref="H82:H85"/>
    <mergeCell ref="H75:H78"/>
    <mergeCell ref="H87:H109"/>
    <mergeCell ref="B121:C121"/>
    <mergeCell ref="B122:C122"/>
    <mergeCell ref="H49:H52"/>
    <mergeCell ref="H54:H60"/>
    <mergeCell ref="H63:H65"/>
    <mergeCell ref="H70:H72"/>
    <mergeCell ref="D109:E109"/>
    <mergeCell ref="D105:E105"/>
    <mergeCell ref="D106:E106"/>
    <mergeCell ref="A74:B74"/>
    <mergeCell ref="C67:E67"/>
    <mergeCell ref="D101:E101"/>
    <mergeCell ref="D103:E103"/>
    <mergeCell ref="D104:E104"/>
    <mergeCell ref="D96:E96"/>
    <mergeCell ref="D97:E97"/>
    <mergeCell ref="D82:E82"/>
    <mergeCell ref="D95:E95"/>
    <mergeCell ref="C110:E110"/>
    <mergeCell ref="D107:E107"/>
    <mergeCell ref="B62:C62"/>
    <mergeCell ref="A132:F132"/>
    <mergeCell ref="B128:C128"/>
    <mergeCell ref="B129:C129"/>
    <mergeCell ref="B130:C130"/>
    <mergeCell ref="B123:C123"/>
    <mergeCell ref="B124:C124"/>
    <mergeCell ref="B125:C125"/>
    <mergeCell ref="B126:C126"/>
    <mergeCell ref="B127:C127"/>
    <mergeCell ref="B48:C48"/>
    <mergeCell ref="D108:E108"/>
    <mergeCell ref="A80:F80"/>
    <mergeCell ref="A79:E79"/>
    <mergeCell ref="C74:D74"/>
    <mergeCell ref="D98:E98"/>
    <mergeCell ref="D99:E99"/>
    <mergeCell ref="D100:E100"/>
    <mergeCell ref="D81:E81"/>
    <mergeCell ref="D83:E83"/>
    <mergeCell ref="D84:E84"/>
    <mergeCell ref="D85:E85"/>
    <mergeCell ref="D87:E87"/>
    <mergeCell ref="D88:E88"/>
    <mergeCell ref="D89:E89"/>
    <mergeCell ref="D90:E90"/>
    <mergeCell ref="D91:E91"/>
    <mergeCell ref="D92:E92"/>
    <mergeCell ref="D93:E93"/>
    <mergeCell ref="B118:E118"/>
    <mergeCell ref="A139:F150"/>
    <mergeCell ref="A138:F138"/>
    <mergeCell ref="I71:I72"/>
    <mergeCell ref="D69:E69"/>
    <mergeCell ref="D70:E70"/>
    <mergeCell ref="D71:E71"/>
    <mergeCell ref="D72:E72"/>
    <mergeCell ref="I43:I46"/>
    <mergeCell ref="A47:D47"/>
    <mergeCell ref="B49:C49"/>
    <mergeCell ref="B50:C50"/>
    <mergeCell ref="B51:C51"/>
    <mergeCell ref="B52:C52"/>
    <mergeCell ref="B54:C54"/>
    <mergeCell ref="B55:C55"/>
    <mergeCell ref="B56:C56"/>
    <mergeCell ref="B57:C57"/>
    <mergeCell ref="B58:C58"/>
    <mergeCell ref="B59:C59"/>
    <mergeCell ref="B60:C60"/>
    <mergeCell ref="B63:C63"/>
    <mergeCell ref="B64:C64"/>
    <mergeCell ref="B65:C65"/>
  </mergeCells>
  <conditionalFormatting sqref="E17:E20 F38 E75:E78 F79 D117">
    <cfRule type="cellIs" dxfId="15" priority="26" stopIfTrue="1" operator="equal">
      <formula>0</formula>
    </cfRule>
  </conditionalFormatting>
  <conditionalFormatting sqref="E24:E37">
    <cfRule type="cellIs" dxfId="14" priority="5" stopIfTrue="1" operator="equal">
      <formula>0</formula>
    </cfRule>
  </conditionalFormatting>
  <conditionalFormatting sqref="F21:F23">
    <cfRule type="cellIs" dxfId="13" priority="4" stopIfTrue="1" operator="equal">
      <formula>0</formula>
    </cfRule>
  </conditionalFormatting>
  <conditionalFormatting sqref="F41:F68">
    <cfRule type="cellIs" dxfId="12" priority="3" stopIfTrue="1" operator="equal">
      <formula>0</formula>
    </cfRule>
  </conditionalFormatting>
  <conditionalFormatting sqref="F70:F74">
    <cfRule type="cellIs" dxfId="11" priority="7" stopIfTrue="1" operator="equal">
      <formula>0</formula>
    </cfRule>
  </conditionalFormatting>
  <conditionalFormatting sqref="F82:F111">
    <cfRule type="cellIs" dxfId="10" priority="11" stopIfTrue="1" operator="equal">
      <formula>0</formula>
    </cfRule>
  </conditionalFormatting>
  <conditionalFormatting sqref="F113:F116">
    <cfRule type="cellIs" dxfId="9" priority="2" stopIfTrue="1" operator="equal">
      <formula>0</formula>
    </cfRule>
  </conditionalFormatting>
  <conditionalFormatting sqref="F118">
    <cfRule type="cellIs" dxfId="8" priority="1" stopIfTrue="1" operator="equal">
      <formula>0</formula>
    </cfRule>
  </conditionalFormatting>
  <dataValidations xWindow="796" yWindow="747" count="1">
    <dataValidation type="list" allowBlank="1" showInputMessage="1" showErrorMessage="1" promptTitle="Manual Entry - Drop Down List" prompt="Select the correct GL Code for Domestic Connection _x000a_460-00-00-0000-3660-601 (Commercial)_x000a_460-00-00-0000-3660-605 (Airport)_x000a_460-00-00-0000-3660-606 (Shiloh Ranch/Mayacama)" sqref="E127" xr:uid="{1082D940-CBFF-4DE3-A3FF-4B11FCC105FC}">
      <formula1>$I$56:$I$58</formula1>
    </dataValidation>
  </dataValidations>
  <pageMargins left="0.25" right="0.25" top="0.25" bottom="0.25" header="0.3" footer="0.3"/>
  <pageSetup scale="53" fitToHeight="0" orientation="portrait" r:id="rId1"/>
  <headerFooter>
    <oddHeader>&amp;RDocument Prepared on &amp;D</oddHeader>
    <oddFooter>&amp;L&amp;F&amp;R&amp;P</oddFooter>
  </headerFooter>
  <rowBreaks count="1" manualBreakCount="1"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DE463-8B5C-4A60-8E08-C705C69E7E7C}">
  <sheetPr>
    <tabColor theme="2" tint="-0.249977111117893"/>
    <pageSetUpPr fitToPage="1"/>
  </sheetPr>
  <dimension ref="A1:L45"/>
  <sheetViews>
    <sheetView topLeftCell="A12" zoomScaleNormal="100" workbookViewId="0">
      <selection activeCell="L24" sqref="L24"/>
    </sheetView>
  </sheetViews>
  <sheetFormatPr defaultColWidth="9.33203125" defaultRowHeight="13.8"/>
  <cols>
    <col min="1" max="1" width="55.33203125" style="68" customWidth="1"/>
    <col min="2" max="2" width="23.6640625" style="68" customWidth="1"/>
    <col min="3" max="3" width="21.109375" style="94" customWidth="1"/>
    <col min="4" max="4" width="18.77734375" style="68" customWidth="1"/>
    <col min="5" max="6" width="15.77734375" style="68" customWidth="1"/>
    <col min="7" max="7" width="3.44140625" style="68" hidden="1" customWidth="1"/>
    <col min="8" max="8" width="31" style="71" hidden="1" customWidth="1"/>
    <col min="9" max="9" width="28.77734375" style="68" hidden="1" customWidth="1"/>
    <col min="10" max="10" width="18" style="68" hidden="1" customWidth="1"/>
    <col min="11" max="11" width="0" style="68" hidden="1" customWidth="1"/>
    <col min="12" max="12" width="10.109375" style="68" bestFit="1" customWidth="1"/>
    <col min="13" max="18" width="9.33203125" style="68"/>
    <col min="19" max="19" width="12.77734375" style="68" customWidth="1"/>
    <col min="20" max="16384" width="9.33203125" style="68"/>
  </cols>
  <sheetData>
    <row r="1" spans="1:12" ht="50.1" customHeight="1">
      <c r="A1" s="671" t="s">
        <v>263</v>
      </c>
      <c r="B1" s="672"/>
      <c r="C1" s="672"/>
      <c r="D1" s="672"/>
      <c r="E1" s="672"/>
      <c r="F1" s="673"/>
    </row>
    <row r="2" spans="1:12" ht="50.1" customHeight="1" thickBot="1">
      <c r="A2" s="715" t="s">
        <v>264</v>
      </c>
      <c r="B2" s="675"/>
      <c r="C2" s="675"/>
      <c r="D2" s="675"/>
      <c r="E2" s="675"/>
      <c r="F2" s="676"/>
    </row>
    <row r="3" spans="1:12" s="46" customFormat="1" ht="20.100000000000001" customHeight="1" thickTop="1">
      <c r="A3" s="501" t="s">
        <v>265</v>
      </c>
      <c r="B3" s="716">
        <f>'Data Sheet'!B5</f>
        <v>0</v>
      </c>
      <c r="C3" s="717"/>
      <c r="D3" s="717"/>
      <c r="E3" s="717"/>
      <c r="F3" s="718"/>
      <c r="H3" s="502"/>
    </row>
    <row r="4" spans="1:12" s="46" customFormat="1" ht="20.100000000000001" customHeight="1">
      <c r="A4" s="389" t="s">
        <v>104</v>
      </c>
      <c r="B4" s="719">
        <f>'Data Sheet'!B6</f>
        <v>0</v>
      </c>
      <c r="C4" s="720"/>
      <c r="D4" s="720"/>
      <c r="E4" s="720"/>
      <c r="F4" s="721"/>
      <c r="H4" s="502"/>
    </row>
    <row r="5" spans="1:12" s="46" customFormat="1" ht="20.100000000000001" customHeight="1">
      <c r="A5" s="389" t="s">
        <v>105</v>
      </c>
      <c r="B5" s="719">
        <f>'Data Sheet'!B7</f>
        <v>0</v>
      </c>
      <c r="C5" s="720"/>
      <c r="D5" s="421"/>
      <c r="E5" s="421"/>
      <c r="F5" s="422"/>
      <c r="H5" s="502"/>
    </row>
    <row r="6" spans="1:12" s="46" customFormat="1" ht="20.100000000000001" customHeight="1" thickBot="1">
      <c r="A6" s="389" t="s">
        <v>106</v>
      </c>
      <c r="B6" s="726">
        <f>'Data Sheet'!B9</f>
        <v>0</v>
      </c>
      <c r="C6" s="727"/>
      <c r="D6" s="425"/>
      <c r="E6" s="425"/>
      <c r="F6" s="426"/>
      <c r="H6" s="502"/>
    </row>
    <row r="7" spans="1:12" s="46" customFormat="1" ht="20.100000000000001" customHeight="1" thickBot="1">
      <c r="A7" s="503" t="s">
        <v>266</v>
      </c>
      <c r="B7" s="722"/>
      <c r="C7" s="723"/>
      <c r="D7" s="504" t="s">
        <v>111</v>
      </c>
      <c r="E7" s="724"/>
      <c r="F7" s="725"/>
      <c r="H7" s="502"/>
    </row>
    <row r="8" spans="1:12" s="46" customFormat="1" ht="12" customHeight="1" thickBot="1">
      <c r="A8" s="505"/>
      <c r="B8" s="506"/>
      <c r="C8" s="506"/>
      <c r="D8" s="507"/>
      <c r="E8" s="506"/>
      <c r="F8" s="508"/>
      <c r="H8" s="502"/>
    </row>
    <row r="9" spans="1:12" s="46" customFormat="1" ht="20.100000000000001" customHeight="1" thickTop="1" thickBot="1">
      <c r="A9" s="509" t="s">
        <v>113</v>
      </c>
      <c r="B9" s="509" t="s">
        <v>114</v>
      </c>
      <c r="C9" s="510" t="s">
        <v>115</v>
      </c>
      <c r="D9" s="509" t="s">
        <v>116</v>
      </c>
      <c r="E9" s="632" t="s">
        <v>267</v>
      </c>
      <c r="F9" s="633"/>
      <c r="G9" s="511"/>
      <c r="H9" s="502"/>
    </row>
    <row r="10" spans="1:12" s="46" customFormat="1" ht="20.100000000000001" customHeight="1" thickTop="1" thickBot="1">
      <c r="A10" s="711" t="s">
        <v>268</v>
      </c>
      <c r="B10" s="712"/>
      <c r="C10" s="712"/>
      <c r="D10" s="712"/>
      <c r="E10" s="712"/>
      <c r="F10" s="713"/>
      <c r="G10" s="511"/>
      <c r="H10" s="512" t="s">
        <v>571</v>
      </c>
      <c r="I10" s="513" t="s">
        <v>524</v>
      </c>
      <c r="J10" s="357" t="s">
        <v>525</v>
      </c>
    </row>
    <row r="11" spans="1:12" s="46" customFormat="1" ht="20.100000000000001" customHeight="1" thickTop="1">
      <c r="A11" s="373"/>
      <c r="B11" s="360">
        <f>'Data Sheet'!B13</f>
        <v>0</v>
      </c>
      <c r="C11" s="313">
        <f>'FY26-27 FEE Worksheet'!K135</f>
        <v>13829</v>
      </c>
      <c r="D11" s="333" t="s">
        <v>119</v>
      </c>
      <c r="E11" s="692">
        <f>ROUND(+B11*C11,0)</f>
        <v>0</v>
      </c>
      <c r="F11" s="692"/>
      <c r="G11" s="511"/>
      <c r="H11" s="700" t="s">
        <v>270</v>
      </c>
      <c r="I11" s="700" t="s">
        <v>551</v>
      </c>
      <c r="J11" s="700" t="s">
        <v>552</v>
      </c>
    </row>
    <row r="12" spans="1:12" s="46" customFormat="1" ht="20.100000000000001" customHeight="1">
      <c r="A12" s="373" t="s">
        <v>271</v>
      </c>
      <c r="B12" s="362">
        <f>'Data Sheet'!B17</f>
        <v>0</v>
      </c>
      <c r="C12" s="313">
        <f>'FY26-27 FEE Worksheet'!K136</f>
        <v>11243</v>
      </c>
      <c r="D12" s="333" t="s">
        <v>119</v>
      </c>
      <c r="E12" s="670">
        <f>ROUND(+B12*C12,0)</f>
        <v>0</v>
      </c>
      <c r="F12" s="670"/>
      <c r="G12" s="511"/>
      <c r="H12" s="701"/>
      <c r="I12" s="701"/>
      <c r="J12" s="701"/>
      <c r="K12" s="70"/>
    </row>
    <row r="13" spans="1:12" s="46" customFormat="1" ht="20.100000000000001" customHeight="1" thickBot="1">
      <c r="A13" s="382" t="s">
        <v>272</v>
      </c>
      <c r="B13" s="362">
        <f>'Data Sheet'!B21</f>
        <v>0</v>
      </c>
      <c r="C13" s="313">
        <f>'FY26-27 FEE Worksheet'!K137</f>
        <v>9839</v>
      </c>
      <c r="D13" s="333" t="s">
        <v>119</v>
      </c>
      <c r="E13" s="670">
        <f>ROUND(+B13*C13,0)</f>
        <v>0</v>
      </c>
      <c r="F13" s="670"/>
      <c r="G13" s="511"/>
      <c r="H13" s="701"/>
      <c r="I13" s="701"/>
      <c r="J13" s="701"/>
    </row>
    <row r="14" spans="1:12" s="46" customFormat="1" ht="20.100000000000001" customHeight="1" thickTop="1" thickBot="1">
      <c r="A14" s="702" t="s">
        <v>273</v>
      </c>
      <c r="B14" s="703"/>
      <c r="C14" s="704"/>
      <c r="D14" s="704"/>
      <c r="E14" s="703"/>
      <c r="F14" s="705"/>
      <c r="G14" s="511"/>
      <c r="H14" s="447"/>
      <c r="I14" s="447"/>
      <c r="J14" s="447"/>
    </row>
    <row r="15" spans="1:12" s="46" customFormat="1" ht="20.100000000000001" customHeight="1" thickTop="1">
      <c r="A15" s="373" t="s">
        <v>269</v>
      </c>
      <c r="B15" s="360">
        <f>B11</f>
        <v>0</v>
      </c>
      <c r="C15" s="313">
        <f>'FY26-27 FEE Worksheet'!K164</f>
        <v>774</v>
      </c>
      <c r="D15" s="333" t="s">
        <v>119</v>
      </c>
      <c r="E15" s="692">
        <f>ROUND(+B15*C15,0)</f>
        <v>0</v>
      </c>
      <c r="F15" s="692"/>
      <c r="G15" s="511"/>
      <c r="H15" s="700" t="s">
        <v>274</v>
      </c>
      <c r="I15" s="700" t="s">
        <v>553</v>
      </c>
      <c r="J15" s="700" t="s">
        <v>554</v>
      </c>
    </row>
    <row r="16" spans="1:12" s="46" customFormat="1" ht="20.100000000000001" customHeight="1">
      <c r="A16" s="373" t="s">
        <v>271</v>
      </c>
      <c r="B16" s="362">
        <f>'Data Sheet'!B17</f>
        <v>0</v>
      </c>
      <c r="C16" s="313">
        <f>'FY26-27 FEE Worksheet'!K165</f>
        <v>618</v>
      </c>
      <c r="D16" s="333" t="s">
        <v>119</v>
      </c>
      <c r="E16" s="670">
        <f>ROUND(+B16*C16,0)</f>
        <v>0</v>
      </c>
      <c r="F16" s="670"/>
      <c r="G16" s="511"/>
      <c r="H16" s="701"/>
      <c r="I16" s="701"/>
      <c r="J16" s="701"/>
      <c r="L16" s="70"/>
    </row>
    <row r="17" spans="1:12" s="46" customFormat="1" ht="20.100000000000001" customHeight="1" thickBot="1">
      <c r="A17" s="382" t="s">
        <v>272</v>
      </c>
      <c r="B17" s="362">
        <f>'Data Sheet'!B21</f>
        <v>0</v>
      </c>
      <c r="C17" s="313">
        <f>'FY26-27 FEE Worksheet'!K166</f>
        <v>541</v>
      </c>
      <c r="D17" s="333" t="s">
        <v>119</v>
      </c>
      <c r="E17" s="670">
        <f>ROUND(+B17*C17,0)</f>
        <v>0</v>
      </c>
      <c r="F17" s="670"/>
      <c r="G17" s="511"/>
      <c r="H17" s="701"/>
      <c r="I17" s="701"/>
      <c r="J17" s="701"/>
    </row>
    <row r="18" spans="1:12" s="46" customFormat="1" ht="20.100000000000001" customHeight="1" thickTop="1" thickBot="1">
      <c r="A18" s="702" t="s">
        <v>275</v>
      </c>
      <c r="B18" s="703"/>
      <c r="C18" s="704"/>
      <c r="D18" s="704"/>
      <c r="E18" s="703"/>
      <c r="F18" s="705"/>
      <c r="G18" s="511"/>
      <c r="H18" s="447"/>
      <c r="I18" s="447"/>
      <c r="J18" s="447"/>
    </row>
    <row r="19" spans="1:12" s="46" customFormat="1" ht="20.100000000000001" customHeight="1" thickTop="1">
      <c r="A19" s="373" t="s">
        <v>269</v>
      </c>
      <c r="B19" s="360">
        <f>'Data Sheet'!B13</f>
        <v>0</v>
      </c>
      <c r="C19" s="313">
        <f>'FY26-27 FEE Worksheet'!K196</f>
        <v>255</v>
      </c>
      <c r="D19" s="333" t="s">
        <v>119</v>
      </c>
      <c r="E19" s="692">
        <f>ROUND(+B19*C19,0)</f>
        <v>0</v>
      </c>
      <c r="F19" s="692"/>
      <c r="G19" s="511"/>
      <c r="H19" s="700" t="s">
        <v>276</v>
      </c>
      <c r="I19" s="700" t="s">
        <v>555</v>
      </c>
      <c r="J19" s="700" t="s">
        <v>556</v>
      </c>
    </row>
    <row r="20" spans="1:12" s="46" customFormat="1" ht="20.100000000000001" customHeight="1">
      <c r="A20" s="373" t="s">
        <v>271</v>
      </c>
      <c r="B20" s="362">
        <f>'Data Sheet'!B17</f>
        <v>0</v>
      </c>
      <c r="C20" s="313">
        <f>'FY26-27 FEE Worksheet'!K197</f>
        <v>205</v>
      </c>
      <c r="D20" s="333" t="s">
        <v>119</v>
      </c>
      <c r="E20" s="670">
        <f>ROUND(+B20*C20,0)</f>
        <v>0</v>
      </c>
      <c r="F20" s="670"/>
      <c r="G20" s="511"/>
      <c r="H20" s="701"/>
      <c r="I20" s="701"/>
      <c r="J20" s="701"/>
      <c r="L20" s="70"/>
    </row>
    <row r="21" spans="1:12" s="46" customFormat="1" ht="20.100000000000001" customHeight="1" thickBot="1">
      <c r="A21" s="382" t="s">
        <v>272</v>
      </c>
      <c r="B21" s="362">
        <f>'Data Sheet'!B21</f>
        <v>0</v>
      </c>
      <c r="C21" s="313">
        <f>'FY26-27 FEE Worksheet'!K198</f>
        <v>179</v>
      </c>
      <c r="D21" s="333" t="s">
        <v>119</v>
      </c>
      <c r="E21" s="670">
        <f>ROUND(+B21*C21,0)</f>
        <v>0</v>
      </c>
      <c r="F21" s="670"/>
      <c r="G21" s="511"/>
      <c r="H21" s="701"/>
      <c r="I21" s="701"/>
      <c r="J21" s="701"/>
    </row>
    <row r="22" spans="1:12" s="46" customFormat="1" ht="20.100000000000001" customHeight="1" thickTop="1" thickBot="1">
      <c r="A22" s="702" t="s">
        <v>277</v>
      </c>
      <c r="B22" s="703"/>
      <c r="C22" s="704"/>
      <c r="D22" s="704"/>
      <c r="E22" s="703"/>
      <c r="F22" s="705"/>
      <c r="G22" s="511"/>
      <c r="H22" s="447"/>
      <c r="I22" s="447"/>
      <c r="J22" s="447"/>
    </row>
    <row r="23" spans="1:12" s="46" customFormat="1" ht="20.100000000000001" customHeight="1" thickTop="1">
      <c r="A23" s="373" t="s">
        <v>269</v>
      </c>
      <c r="B23" s="360">
        <f>'Data Sheet'!B13</f>
        <v>0</v>
      </c>
      <c r="C23" s="313">
        <f>'FY26-27 FEE Worksheet'!K180</f>
        <v>5</v>
      </c>
      <c r="D23" s="333" t="s">
        <v>119</v>
      </c>
      <c r="E23" s="692">
        <f>ROUND(+B23*C23,0)</f>
        <v>0</v>
      </c>
      <c r="F23" s="692"/>
      <c r="G23" s="511"/>
      <c r="H23" s="700" t="s">
        <v>278</v>
      </c>
      <c r="I23" s="700" t="s">
        <v>557</v>
      </c>
      <c r="J23" s="700" t="s">
        <v>558</v>
      </c>
    </row>
    <row r="24" spans="1:12" s="46" customFormat="1" ht="20.100000000000001" customHeight="1">
      <c r="A24" s="373" t="s">
        <v>271</v>
      </c>
      <c r="B24" s="362">
        <f>'Data Sheet'!B17</f>
        <v>0</v>
      </c>
      <c r="C24" s="313">
        <f>'FY26-27 FEE Worksheet'!K181</f>
        <v>4</v>
      </c>
      <c r="D24" s="333" t="s">
        <v>119</v>
      </c>
      <c r="E24" s="693">
        <f>ROUND(+B24*C24,0)</f>
        <v>0</v>
      </c>
      <c r="F24" s="693"/>
      <c r="G24" s="511"/>
      <c r="H24" s="701"/>
      <c r="I24" s="701"/>
      <c r="J24" s="701"/>
      <c r="L24" s="70"/>
    </row>
    <row r="25" spans="1:12" s="46" customFormat="1" ht="20.100000000000001" customHeight="1" thickBot="1">
      <c r="A25" s="382" t="s">
        <v>272</v>
      </c>
      <c r="B25" s="362">
        <f>'Data Sheet'!B21</f>
        <v>0</v>
      </c>
      <c r="C25" s="313">
        <f>'FY26-27 FEE Worksheet'!K182</f>
        <v>2</v>
      </c>
      <c r="D25" s="333" t="s">
        <v>119</v>
      </c>
      <c r="E25" s="670">
        <f>ROUND(+B25*C25,0)</f>
        <v>0</v>
      </c>
      <c r="F25" s="670"/>
      <c r="G25" s="511"/>
      <c r="H25" s="701"/>
      <c r="I25" s="701"/>
      <c r="J25" s="701"/>
    </row>
    <row r="26" spans="1:12" s="46" customFormat="1" ht="20.100000000000001" customHeight="1" thickTop="1" thickBot="1">
      <c r="A26" s="702" t="s">
        <v>279</v>
      </c>
      <c r="B26" s="704"/>
      <c r="C26" s="704"/>
      <c r="D26" s="704"/>
      <c r="E26" s="703"/>
      <c r="F26" s="705"/>
      <c r="G26" s="511"/>
      <c r="H26" s="447"/>
      <c r="I26" s="447"/>
      <c r="J26" s="447"/>
    </row>
    <row r="27" spans="1:12" s="46" customFormat="1" ht="20.100000000000001" customHeight="1" thickTop="1">
      <c r="A27" s="373" t="s">
        <v>269</v>
      </c>
      <c r="B27" s="360">
        <f>'Data Sheet'!B13</f>
        <v>0</v>
      </c>
      <c r="C27" s="313">
        <f>'FY26-27 FEE Worksheet'!K212</f>
        <v>1785</v>
      </c>
      <c r="D27" s="333" t="s">
        <v>119</v>
      </c>
      <c r="E27" s="692">
        <f>ROUND(+B27*C27,0)</f>
        <v>0</v>
      </c>
      <c r="F27" s="692"/>
      <c r="G27" s="511"/>
      <c r="H27" s="660" t="s">
        <v>280</v>
      </c>
      <c r="I27" s="660" t="s">
        <v>559</v>
      </c>
      <c r="J27" s="660" t="s">
        <v>560</v>
      </c>
    </row>
    <row r="28" spans="1:12" s="46" customFormat="1" ht="20.100000000000001" customHeight="1">
      <c r="A28" s="373" t="s">
        <v>271</v>
      </c>
      <c r="B28" s="362">
        <f>'Data Sheet'!B17</f>
        <v>0</v>
      </c>
      <c r="C28" s="313">
        <f>'FY26-27 FEE Worksheet'!K213</f>
        <v>1428</v>
      </c>
      <c r="D28" s="333" t="s">
        <v>119</v>
      </c>
      <c r="E28" s="670">
        <f>ROUND(+B28*C28,0)</f>
        <v>0</v>
      </c>
      <c r="F28" s="670"/>
      <c r="G28" s="511"/>
      <c r="H28" s="655"/>
      <c r="I28" s="655"/>
      <c r="J28" s="655"/>
      <c r="L28" s="70"/>
    </row>
    <row r="29" spans="1:12" s="46" customFormat="1" ht="20.100000000000001" customHeight="1">
      <c r="A29" s="373" t="s">
        <v>272</v>
      </c>
      <c r="B29" s="362">
        <f>'Data Sheet'!B21</f>
        <v>0</v>
      </c>
      <c r="C29" s="313">
        <f>'FY26-27 FEE Worksheet'!K214</f>
        <v>1250</v>
      </c>
      <c r="D29" s="333" t="s">
        <v>119</v>
      </c>
      <c r="E29" s="670">
        <f>ROUND(+B29*C29,0)</f>
        <v>0</v>
      </c>
      <c r="F29" s="670"/>
      <c r="G29" s="511"/>
      <c r="H29" s="655"/>
      <c r="I29" s="655"/>
      <c r="J29" s="655"/>
    </row>
    <row r="30" spans="1:12" s="46" customFormat="1" ht="20.100000000000001" customHeight="1">
      <c r="A30" s="373" t="s">
        <v>122</v>
      </c>
      <c r="B30" s="321">
        <f>'Data Sheet'!B24</f>
        <v>0</v>
      </c>
      <c r="C30" s="313">
        <f>'FY26-27 FEE Worksheet'!K218</f>
        <v>1189</v>
      </c>
      <c r="D30" s="333" t="s">
        <v>123</v>
      </c>
      <c r="E30" s="670">
        <f>B30*(C30/1000)</f>
        <v>0</v>
      </c>
      <c r="F30" s="670"/>
      <c r="G30" s="511"/>
      <c r="H30" s="655" t="s">
        <v>281</v>
      </c>
      <c r="I30" s="655" t="s">
        <v>559</v>
      </c>
      <c r="J30" s="655" t="s">
        <v>561</v>
      </c>
    </row>
    <row r="31" spans="1:12" s="46" customFormat="1" ht="20.100000000000001" customHeight="1">
      <c r="A31" s="373" t="s">
        <v>135</v>
      </c>
      <c r="B31" s="321">
        <f>'Data Sheet'!B27</f>
        <v>0</v>
      </c>
      <c r="C31" s="313">
        <f>'FY26-27 FEE Worksheet'!K219</f>
        <v>1963</v>
      </c>
      <c r="D31" s="333" t="s">
        <v>123</v>
      </c>
      <c r="E31" s="670">
        <f>B31*(C31/1000)</f>
        <v>0</v>
      </c>
      <c r="F31" s="670"/>
      <c r="G31" s="511"/>
      <c r="H31" s="655"/>
      <c r="I31" s="655"/>
      <c r="J31" s="655"/>
    </row>
    <row r="32" spans="1:12" s="46" customFormat="1" ht="20.100000000000001" customHeight="1" thickBot="1">
      <c r="A32" s="374" t="s">
        <v>282</v>
      </c>
      <c r="B32" s="322">
        <f>'Data Sheet'!B28+'Data Sheet'!B29</f>
        <v>0</v>
      </c>
      <c r="C32" s="314">
        <f>'FY26-27 FEE Worksheet'!K220</f>
        <v>833</v>
      </c>
      <c r="D32" s="383" t="s">
        <v>123</v>
      </c>
      <c r="E32" s="714">
        <f>B32*(C32/1000)</f>
        <v>0</v>
      </c>
      <c r="F32" s="714"/>
      <c r="G32" s="511"/>
      <c r="H32" s="656"/>
      <c r="I32" s="656"/>
      <c r="J32" s="656"/>
    </row>
    <row r="33" spans="1:12" s="46" customFormat="1" ht="20.100000000000001" customHeight="1" thickTop="1" thickBot="1">
      <c r="A33" s="706" t="s">
        <v>283</v>
      </c>
      <c r="B33" s="707"/>
      <c r="C33" s="707"/>
      <c r="D33" s="708"/>
      <c r="E33" s="709">
        <f>SUM(E11:F13,E15:F17,E19:F21,E23:F25,E27:F32)</f>
        <v>0</v>
      </c>
      <c r="F33" s="710"/>
      <c r="H33" s="502"/>
      <c r="L33" s="70"/>
    </row>
    <row r="34" spans="1:12" ht="14.4" thickTop="1">
      <c r="A34" s="514" t="s">
        <v>570</v>
      </c>
    </row>
    <row r="35" spans="1:12" ht="20.100000000000001" hidden="1" customHeight="1" thickBot="1">
      <c r="A35" s="697" t="s">
        <v>247</v>
      </c>
      <c r="B35" s="698"/>
      <c r="C35" s="698"/>
      <c r="D35" s="698"/>
      <c r="E35" s="698"/>
      <c r="F35" s="699"/>
    </row>
    <row r="36" spans="1:12" s="46" customFormat="1" ht="20.100000000000001" hidden="1" customHeight="1">
      <c r="A36" s="515" t="s">
        <v>284</v>
      </c>
      <c r="B36" s="515" t="s">
        <v>285</v>
      </c>
      <c r="C36" s="516" t="s">
        <v>286</v>
      </c>
      <c r="D36" s="515"/>
      <c r="E36" s="68"/>
      <c r="H36" s="502"/>
    </row>
    <row r="37" spans="1:12" s="46" customFormat="1" ht="20.100000000000001" hidden="1" customHeight="1">
      <c r="A37" s="515" t="s">
        <v>287</v>
      </c>
      <c r="B37" s="515" t="s">
        <v>285</v>
      </c>
      <c r="C37" s="516" t="s">
        <v>288</v>
      </c>
      <c r="D37" s="515"/>
      <c r="E37" s="68"/>
      <c r="H37" s="502"/>
    </row>
    <row r="38" spans="1:12" s="46" customFormat="1" ht="20.100000000000001" hidden="1" customHeight="1">
      <c r="A38" s="515" t="s">
        <v>289</v>
      </c>
      <c r="B38" s="515" t="s">
        <v>290</v>
      </c>
      <c r="C38" s="516"/>
      <c r="D38" s="515"/>
      <c r="E38" s="68"/>
      <c r="H38" s="502"/>
    </row>
    <row r="39" spans="1:12" s="46" customFormat="1" ht="20.100000000000001" hidden="1" customHeight="1">
      <c r="A39" s="515" t="s">
        <v>291</v>
      </c>
      <c r="B39" s="515" t="s">
        <v>292</v>
      </c>
      <c r="C39" s="516"/>
      <c r="D39" s="515"/>
      <c r="E39" s="68"/>
      <c r="H39" s="502"/>
    </row>
    <row r="40" spans="1:12" s="46" customFormat="1" ht="15.6" hidden="1">
      <c r="A40" s="515" t="s">
        <v>293</v>
      </c>
      <c r="B40" s="515" t="s">
        <v>294</v>
      </c>
      <c r="C40" s="516" t="s">
        <v>295</v>
      </c>
      <c r="D40" s="515"/>
      <c r="H40" s="502"/>
    </row>
    <row r="41" spans="1:12" hidden="1"/>
    <row r="42" spans="1:12" hidden="1"/>
    <row r="43" spans="1:12" hidden="1"/>
    <row r="44" spans="1:12" hidden="1"/>
    <row r="45" spans="1:12" hidden="1"/>
  </sheetData>
  <sheetProtection algorithmName="SHA-512" hashValue="VcSPV70RAMyN2ezRjUU0a8i+efBeMAzRMb4vyIU1EoKuOIoqttMs59pZm4enmSanAJWhPsd1YtEk7XcOpH692Q==" saltValue="6vt7Cz0DalZLDaUXPFvUUg==" spinCount="100000" sheet="1" objects="1" scenarios="1" selectLockedCells="1"/>
  <mergeCells count="53">
    <mergeCell ref="I30:I32"/>
    <mergeCell ref="J11:J13"/>
    <mergeCell ref="J15:J17"/>
    <mergeCell ref="J19:J21"/>
    <mergeCell ref="J23:J25"/>
    <mergeCell ref="J27:J29"/>
    <mergeCell ref="J30:J32"/>
    <mergeCell ref="I11:I13"/>
    <mergeCell ref="I15:I17"/>
    <mergeCell ref="I19:I21"/>
    <mergeCell ref="I23:I25"/>
    <mergeCell ref="I27:I29"/>
    <mergeCell ref="E9:F9"/>
    <mergeCell ref="A1:F1"/>
    <mergeCell ref="A2:F2"/>
    <mergeCell ref="B3:F3"/>
    <mergeCell ref="B4:F4"/>
    <mergeCell ref="B7:C7"/>
    <mergeCell ref="E7:F7"/>
    <mergeCell ref="B5:C5"/>
    <mergeCell ref="B6:C6"/>
    <mergeCell ref="A10:F10"/>
    <mergeCell ref="E31:F31"/>
    <mergeCell ref="E32:F32"/>
    <mergeCell ref="E19:F19"/>
    <mergeCell ref="E20:F20"/>
    <mergeCell ref="E21:F21"/>
    <mergeCell ref="E23:F23"/>
    <mergeCell ref="E24:F24"/>
    <mergeCell ref="A22:F22"/>
    <mergeCell ref="E17:F17"/>
    <mergeCell ref="E12:F12"/>
    <mergeCell ref="E13:F13"/>
    <mergeCell ref="E15:F15"/>
    <mergeCell ref="E16:F16"/>
    <mergeCell ref="E11:F11"/>
    <mergeCell ref="A26:F26"/>
    <mergeCell ref="H27:H29"/>
    <mergeCell ref="H30:H32"/>
    <mergeCell ref="A35:F35"/>
    <mergeCell ref="H11:H13"/>
    <mergeCell ref="H15:H17"/>
    <mergeCell ref="H19:H21"/>
    <mergeCell ref="H23:H25"/>
    <mergeCell ref="A18:F18"/>
    <mergeCell ref="A14:F14"/>
    <mergeCell ref="A33:D33"/>
    <mergeCell ref="E33:F33"/>
    <mergeCell ref="E25:F25"/>
    <mergeCell ref="E27:F27"/>
    <mergeCell ref="E28:F28"/>
    <mergeCell ref="E29:F29"/>
    <mergeCell ref="E30:F30"/>
  </mergeCells>
  <conditionalFormatting sqref="E11:E13">
    <cfRule type="cellIs" dxfId="7" priority="15" stopIfTrue="1" operator="equal">
      <formula>0</formula>
    </cfRule>
  </conditionalFormatting>
  <conditionalFormatting sqref="E15:E17">
    <cfRule type="cellIs" dxfId="6" priority="16" stopIfTrue="1" operator="equal">
      <formula>0</formula>
    </cfRule>
  </conditionalFormatting>
  <conditionalFormatting sqref="E19:E21">
    <cfRule type="cellIs" dxfId="5" priority="17" stopIfTrue="1" operator="equal">
      <formula>0</formula>
    </cfRule>
  </conditionalFormatting>
  <conditionalFormatting sqref="E23:E25">
    <cfRule type="cellIs" dxfId="4" priority="18" stopIfTrue="1" operator="equal">
      <formula>0</formula>
    </cfRule>
  </conditionalFormatting>
  <conditionalFormatting sqref="E27:E32">
    <cfRule type="cellIs" dxfId="3" priority="6" stopIfTrue="1" operator="equal">
      <formula>0</formula>
    </cfRule>
  </conditionalFormatting>
  <pageMargins left="0.7" right="0.7" top="0.75" bottom="0.75" header="0.3" footer="0.3"/>
  <pageSetup scale="55" fitToHeight="0" orientation="portrait" r:id="rId1"/>
  <headerFooter>
    <oddHeader>&amp;RDocument Prepared on &amp;D</oddHeader>
    <oddFooter>&amp;L&amp;F&amp;R&amp;P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1B796-A515-41F0-9E09-68B18B6F92E5}">
  <sheetPr>
    <tabColor theme="2" tint="-0.249977111117893"/>
    <pageSetUpPr fitToPage="1"/>
  </sheetPr>
  <dimension ref="A1:L20"/>
  <sheetViews>
    <sheetView topLeftCell="A2" zoomScaleNormal="100" workbookViewId="0">
      <selection activeCell="E15" sqref="E15:F15"/>
    </sheetView>
  </sheetViews>
  <sheetFormatPr defaultColWidth="9.33203125" defaultRowHeight="13.8"/>
  <cols>
    <col min="1" max="1" width="41.77734375" style="18" customWidth="1"/>
    <col min="2" max="2" width="13.77734375" style="18" customWidth="1"/>
    <col min="3" max="3" width="15" style="18" customWidth="1"/>
    <col min="4" max="4" width="16.33203125" style="18" customWidth="1"/>
    <col min="5" max="5" width="9.33203125" style="18"/>
    <col min="6" max="6" width="16.6640625" style="18" customWidth="1"/>
    <col min="7" max="7" width="3.109375" style="18" customWidth="1"/>
    <col min="8" max="8" width="31" style="92" hidden="1" customWidth="1"/>
    <col min="9" max="9" width="9.33203125" style="18" hidden="1" customWidth="1"/>
    <col min="10" max="11" width="0" style="18" hidden="1" customWidth="1"/>
    <col min="12" max="12" width="13.44140625" style="18" hidden="1" customWidth="1"/>
    <col min="13" max="13" width="0" style="18" hidden="1" customWidth="1"/>
    <col min="14" max="16384" width="9.33203125" style="18"/>
  </cols>
  <sheetData>
    <row r="1" spans="1:12" ht="45" customHeight="1">
      <c r="A1" s="525" t="s">
        <v>296</v>
      </c>
      <c r="B1" s="526"/>
      <c r="C1" s="526"/>
      <c r="D1" s="526"/>
      <c r="E1" s="526"/>
      <c r="F1" s="527"/>
    </row>
    <row r="2" spans="1:12" ht="45" customHeight="1" thickBot="1">
      <c r="A2" s="528" t="s">
        <v>264</v>
      </c>
      <c r="B2" s="529"/>
      <c r="C2" s="529"/>
      <c r="D2" s="529"/>
      <c r="E2" s="529"/>
      <c r="F2" s="530"/>
    </row>
    <row r="3" spans="1:12" ht="20.100000000000001" customHeight="1">
      <c r="A3" s="115" t="s">
        <v>265</v>
      </c>
      <c r="B3" s="532">
        <f>'Data Sheet'!B5</f>
        <v>0</v>
      </c>
      <c r="C3" s="533"/>
      <c r="D3" s="533"/>
      <c r="E3" s="533"/>
      <c r="F3" s="534"/>
      <c r="G3" s="20"/>
    </row>
    <row r="4" spans="1:12" ht="20.100000000000001" customHeight="1">
      <c r="A4" s="116" t="s">
        <v>104</v>
      </c>
      <c r="B4" s="535">
        <f>'Data Sheet'!B6</f>
        <v>0</v>
      </c>
      <c r="C4" s="536"/>
      <c r="D4" s="536"/>
      <c r="E4" s="536"/>
      <c r="F4" s="537"/>
    </row>
    <row r="5" spans="1:12" ht="20.100000000000001" customHeight="1">
      <c r="A5" s="116" t="s">
        <v>105</v>
      </c>
      <c r="B5" s="535">
        <f>'Data Sheet'!B7</f>
        <v>0</v>
      </c>
      <c r="C5" s="536"/>
      <c r="D5" s="21"/>
      <c r="E5" s="21"/>
      <c r="F5" s="22"/>
    </row>
    <row r="6" spans="1:12" ht="20.100000000000001" customHeight="1" thickBot="1">
      <c r="A6" s="116" t="s">
        <v>106</v>
      </c>
      <c r="B6" s="541">
        <f>'Data Sheet'!B9</f>
        <v>0</v>
      </c>
      <c r="C6" s="542"/>
      <c r="D6" s="23"/>
      <c r="E6" s="23"/>
      <c r="F6" s="24"/>
      <c r="G6" s="20"/>
    </row>
    <row r="7" spans="1:12" ht="20.100000000000001" customHeight="1" thickBot="1">
      <c r="A7" s="118" t="s">
        <v>297</v>
      </c>
      <c r="B7" s="543"/>
      <c r="C7" s="544"/>
      <c r="D7" s="117" t="s">
        <v>111</v>
      </c>
      <c r="E7" s="748"/>
      <c r="F7" s="749"/>
      <c r="G7" s="20"/>
    </row>
    <row r="8" spans="1:12" ht="9.75" customHeight="1" thickBot="1">
      <c r="A8" s="750"/>
      <c r="B8" s="750"/>
      <c r="C8" s="750"/>
      <c r="D8" s="750"/>
      <c r="E8" s="750"/>
      <c r="F8" s="750"/>
      <c r="G8" s="20"/>
    </row>
    <row r="9" spans="1:12" ht="20.100000000000001" customHeight="1" thickTop="1" thickBot="1">
      <c r="A9" s="26" t="s">
        <v>113</v>
      </c>
      <c r="B9" s="26" t="s">
        <v>114</v>
      </c>
      <c r="C9" s="28" t="s">
        <v>115</v>
      </c>
      <c r="D9" s="26" t="s">
        <v>116</v>
      </c>
      <c r="E9" s="746" t="s">
        <v>267</v>
      </c>
      <c r="F9" s="747"/>
      <c r="H9" s="104"/>
    </row>
    <row r="10" spans="1:12" ht="20.100000000000001" customHeight="1" thickTop="1">
      <c r="A10" s="112" t="s">
        <v>298</v>
      </c>
      <c r="B10" s="360">
        <f>'Data Sheet'!B13</f>
        <v>0</v>
      </c>
      <c r="C10" s="313">
        <f>'FY26-27 FEE Worksheet'!K238</f>
        <v>130</v>
      </c>
      <c r="D10" s="333" t="s">
        <v>119</v>
      </c>
      <c r="E10" s="692">
        <f>ROUND(+B10*C10,0)</f>
        <v>0</v>
      </c>
      <c r="F10" s="692"/>
      <c r="H10" s="731" t="s">
        <v>299</v>
      </c>
      <c r="I10" s="737" t="s">
        <v>549</v>
      </c>
      <c r="J10" s="738"/>
      <c r="K10" s="739"/>
      <c r="L10" s="737" t="s">
        <v>550</v>
      </c>
    </row>
    <row r="11" spans="1:12" ht="20.100000000000001" customHeight="1">
      <c r="A11" s="113" t="s">
        <v>300</v>
      </c>
      <c r="B11" s="362">
        <f>'Data Sheet'!B17</f>
        <v>0</v>
      </c>
      <c r="C11" s="313">
        <f>'FY26-27 FEE Worksheet'!K239</f>
        <v>104</v>
      </c>
      <c r="D11" s="333" t="s">
        <v>119</v>
      </c>
      <c r="E11" s="736">
        <f>ROUND(+B11*C11,0)</f>
        <v>0</v>
      </c>
      <c r="F11" s="736"/>
      <c r="H11" s="732"/>
      <c r="I11" s="740"/>
      <c r="J11" s="741"/>
      <c r="K11" s="742"/>
      <c r="L11" s="740"/>
    </row>
    <row r="12" spans="1:12" ht="20.100000000000001" customHeight="1">
      <c r="A12" s="113" t="s">
        <v>301</v>
      </c>
      <c r="B12" s="362">
        <f>'Data Sheet'!B21</f>
        <v>0</v>
      </c>
      <c r="C12" s="313">
        <f>'FY26-27 FEE Worksheet'!K240</f>
        <v>93</v>
      </c>
      <c r="D12" s="333" t="s">
        <v>119</v>
      </c>
      <c r="E12" s="736">
        <f>ROUND(+B12*C12,0)</f>
        <v>0</v>
      </c>
      <c r="F12" s="736"/>
      <c r="H12" s="732"/>
      <c r="I12" s="740"/>
      <c r="J12" s="741"/>
      <c r="K12" s="742"/>
      <c r="L12" s="740"/>
    </row>
    <row r="13" spans="1:12" ht="20.100000000000001" customHeight="1">
      <c r="A13" s="109" t="s">
        <v>302</v>
      </c>
      <c r="B13" s="362">
        <f>'Data Sheet'!B24</f>
        <v>0</v>
      </c>
      <c r="C13" s="313">
        <f>'FY26-27 FEE Worksheet'!K244</f>
        <v>31</v>
      </c>
      <c r="D13" s="333" t="s">
        <v>123</v>
      </c>
      <c r="E13" s="670">
        <f>ROUND(+B13*C13,0)/1000</f>
        <v>0</v>
      </c>
      <c r="F13" s="670"/>
      <c r="H13" s="732"/>
      <c r="I13" s="740"/>
      <c r="J13" s="741"/>
      <c r="K13" s="742"/>
      <c r="L13" s="740"/>
    </row>
    <row r="14" spans="1:12" ht="20.100000000000001" customHeight="1">
      <c r="A14" s="109" t="s">
        <v>135</v>
      </c>
      <c r="B14" s="362">
        <f>'Data Sheet'!B27</f>
        <v>0</v>
      </c>
      <c r="C14" s="313">
        <f>'FY26-27 FEE Worksheet'!K245</f>
        <v>49</v>
      </c>
      <c r="D14" s="333" t="s">
        <v>123</v>
      </c>
      <c r="E14" s="670">
        <f t="shared" ref="E14:E15" si="0">B14*C14/1000</f>
        <v>0</v>
      </c>
      <c r="F14" s="670"/>
      <c r="H14" s="732"/>
      <c r="I14" s="740"/>
      <c r="J14" s="741"/>
      <c r="K14" s="742"/>
      <c r="L14" s="740"/>
    </row>
    <row r="15" spans="1:12" ht="20.100000000000001" customHeight="1" thickBot="1">
      <c r="A15" s="110" t="s">
        <v>282</v>
      </c>
      <c r="B15" s="384">
        <f>'Data Sheet'!B28+'Data Sheet'!B29</f>
        <v>0</v>
      </c>
      <c r="C15" s="313">
        <f>'FY26-27 FEE Worksheet'!K246</f>
        <v>22</v>
      </c>
      <c r="D15" s="383" t="s">
        <v>123</v>
      </c>
      <c r="E15" s="714">
        <f t="shared" si="0"/>
        <v>0</v>
      </c>
      <c r="F15" s="714"/>
      <c r="H15" s="733"/>
      <c r="I15" s="743"/>
      <c r="J15" s="744"/>
      <c r="K15" s="745"/>
      <c r="L15" s="743"/>
    </row>
    <row r="16" spans="1:12" ht="20.100000000000001" customHeight="1" thickTop="1" thickBot="1">
      <c r="A16" s="304" t="s">
        <v>570</v>
      </c>
      <c r="B16" s="728" t="s">
        <v>303</v>
      </c>
      <c r="C16" s="729"/>
      <c r="D16" s="730"/>
      <c r="E16" s="734">
        <f>SUM(E10:F15)</f>
        <v>0</v>
      </c>
      <c r="F16" s="735"/>
    </row>
    <row r="17" spans="1:6" ht="20.100000000000001" customHeight="1" thickTop="1">
      <c r="A17" s="19"/>
      <c r="B17" s="19"/>
      <c r="C17" s="19"/>
      <c r="D17" s="19"/>
      <c r="E17" s="19"/>
      <c r="F17" s="19"/>
    </row>
    <row r="18" spans="1:6" ht="15.6">
      <c r="A18" s="19"/>
      <c r="B18" s="19"/>
      <c r="C18" s="19"/>
      <c r="D18" s="19"/>
      <c r="E18" s="19"/>
      <c r="F18" s="19"/>
    </row>
    <row r="19" spans="1:6" ht="15.6">
      <c r="A19" s="19"/>
    </row>
    <row r="20" spans="1:6" ht="15.6">
      <c r="A20" s="19"/>
    </row>
  </sheetData>
  <sheetProtection algorithmName="SHA-512" hashValue="58ymblGEXUPOyoq/StFLZ1qE8x2zhPSdzu7FVVe1JfSXUBZYpJhS6hSVZansYiT2IFC3/VP6BwadpBgWUV9eMQ==" saltValue="szfx0WTVm3/ON5UhZtSfHQ==" spinCount="100000" sheet="1" objects="1" scenarios="1" selectLockedCells="1"/>
  <mergeCells count="21">
    <mergeCell ref="I10:K15"/>
    <mergeCell ref="L10:L15"/>
    <mergeCell ref="E9:F9"/>
    <mergeCell ref="A1:F1"/>
    <mergeCell ref="A2:F2"/>
    <mergeCell ref="B3:F3"/>
    <mergeCell ref="B4:F4"/>
    <mergeCell ref="B5:C5"/>
    <mergeCell ref="B6:C6"/>
    <mergeCell ref="B7:C7"/>
    <mergeCell ref="E7:F7"/>
    <mergeCell ref="A8:F8"/>
    <mergeCell ref="B16:D16"/>
    <mergeCell ref="H10:H15"/>
    <mergeCell ref="E15:F15"/>
    <mergeCell ref="E16:F16"/>
    <mergeCell ref="E10:F10"/>
    <mergeCell ref="E11:F11"/>
    <mergeCell ref="E12:F12"/>
    <mergeCell ref="E13:F13"/>
    <mergeCell ref="E14:F14"/>
  </mergeCells>
  <conditionalFormatting sqref="E10:E15">
    <cfRule type="cellIs" dxfId="2" priority="3" stopIfTrue="1" operator="equal">
      <formula>0</formula>
    </cfRule>
  </conditionalFormatting>
  <pageMargins left="0.7" right="0.7" top="0.75" bottom="0.75" header="0.3" footer="0.3"/>
  <pageSetup scale="68" fitToHeight="0" orientation="portrait" horizontalDpi="1200" verticalDpi="1200" r:id="rId1"/>
  <headerFooter>
    <oddHeader>&amp;RDocument Prepared on &amp;D</oddHeader>
    <oddFooter>&amp;L&amp;F&amp;R&amp;P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6A1F6-289C-4ADE-8FA3-A0DB99840552}">
  <sheetPr>
    <tabColor theme="2" tint="-0.249977111117893"/>
    <pageSetUpPr fitToPage="1"/>
  </sheetPr>
  <dimension ref="A1:J53"/>
  <sheetViews>
    <sheetView topLeftCell="A3" zoomScale="85" zoomScaleNormal="85" workbookViewId="0">
      <selection activeCell="O45" sqref="O45"/>
    </sheetView>
  </sheetViews>
  <sheetFormatPr defaultColWidth="9.33203125" defaultRowHeight="13.8"/>
  <cols>
    <col min="1" max="1" width="52" style="68" customWidth="1"/>
    <col min="2" max="2" width="22.33203125" style="68" customWidth="1"/>
    <col min="3" max="3" width="15" style="68" customWidth="1"/>
    <col min="4" max="4" width="22.6640625" style="68" customWidth="1"/>
    <col min="5" max="5" width="9.33203125" style="68"/>
    <col min="6" max="6" width="16.6640625" style="68" customWidth="1"/>
    <col min="7" max="7" width="3.109375" style="68" customWidth="1"/>
    <col min="8" max="8" width="30.109375" style="68" hidden="1" customWidth="1"/>
    <col min="9" max="9" width="27.33203125" style="68" hidden="1" customWidth="1"/>
    <col min="10" max="10" width="19.33203125" style="68" hidden="1" customWidth="1"/>
    <col min="11" max="12" width="0" style="68" hidden="1" customWidth="1"/>
    <col min="13" max="16384" width="9.33203125" style="68"/>
  </cols>
  <sheetData>
    <row r="1" spans="1:10" ht="50.1" customHeight="1">
      <c r="A1" s="525" t="s">
        <v>304</v>
      </c>
      <c r="B1" s="526"/>
      <c r="C1" s="526"/>
      <c r="D1" s="526"/>
      <c r="E1" s="526"/>
      <c r="F1" s="527"/>
      <c r="G1" s="18"/>
      <c r="H1" s="18"/>
    </row>
    <row r="2" spans="1:10" ht="50.1" customHeight="1" thickBot="1">
      <c r="A2" s="528" t="s">
        <v>305</v>
      </c>
      <c r="B2" s="529"/>
      <c r="C2" s="529"/>
      <c r="D2" s="529"/>
      <c r="E2" s="529"/>
      <c r="F2" s="530"/>
      <c r="G2" s="18"/>
      <c r="H2" s="18"/>
    </row>
    <row r="3" spans="1:10" s="46" customFormat="1" ht="20.100000000000001" customHeight="1">
      <c r="A3" s="338" t="s">
        <v>265</v>
      </c>
      <c r="B3" s="532">
        <f>'Data Sheet'!B5</f>
        <v>0</v>
      </c>
      <c r="C3" s="533"/>
      <c r="D3" s="533"/>
      <c r="E3" s="533"/>
      <c r="F3" s="534"/>
      <c r="G3" s="19"/>
      <c r="H3" s="20"/>
    </row>
    <row r="4" spans="1:10" s="46" customFormat="1" ht="20.100000000000001" customHeight="1">
      <c r="A4" s="338" t="s">
        <v>104</v>
      </c>
      <c r="B4" s="535">
        <f>'Data Sheet'!B6</f>
        <v>0</v>
      </c>
      <c r="C4" s="536"/>
      <c r="D4" s="536"/>
      <c r="E4" s="536"/>
      <c r="F4" s="537"/>
      <c r="G4" s="19"/>
      <c r="H4" s="19"/>
    </row>
    <row r="5" spans="1:10" s="46" customFormat="1" ht="20.100000000000001" customHeight="1">
      <c r="A5" s="338" t="s">
        <v>105</v>
      </c>
      <c r="B5" s="535">
        <f>'Data Sheet'!B7</f>
        <v>0</v>
      </c>
      <c r="C5" s="536"/>
      <c r="D5" s="21"/>
      <c r="E5" s="21"/>
      <c r="F5" s="22"/>
      <c r="G5" s="19"/>
      <c r="H5" s="19"/>
    </row>
    <row r="6" spans="1:10" s="46" customFormat="1" ht="20.100000000000001" customHeight="1">
      <c r="A6" s="338" t="s">
        <v>106</v>
      </c>
      <c r="B6" s="535">
        <f>'Data Sheet'!B9</f>
        <v>0</v>
      </c>
      <c r="C6" s="536"/>
      <c r="D6" s="21"/>
      <c r="E6" s="21"/>
      <c r="F6" s="22"/>
      <c r="G6" s="19"/>
      <c r="H6" s="19"/>
    </row>
    <row r="7" spans="1:10" s="46" customFormat="1" ht="20.100000000000001" customHeight="1" thickBot="1">
      <c r="A7" s="105" t="s">
        <v>70</v>
      </c>
      <c r="B7" s="334">
        <f>'Data Sheet'!B91</f>
        <v>0</v>
      </c>
      <c r="C7" s="335"/>
      <c r="D7" s="23"/>
      <c r="E7" s="23"/>
      <c r="F7" s="24"/>
      <c r="G7" s="19"/>
      <c r="H7" s="19"/>
    </row>
    <row r="8" spans="1:10" s="46" customFormat="1" ht="20.100000000000001" customHeight="1" thickBot="1">
      <c r="A8" s="90" t="s">
        <v>110</v>
      </c>
      <c r="B8" s="724"/>
      <c r="C8" s="725"/>
      <c r="D8" s="91" t="s">
        <v>111</v>
      </c>
      <c r="E8" s="724"/>
      <c r="F8" s="725"/>
      <c r="G8" s="19"/>
      <c r="H8" s="19"/>
      <c r="I8" s="95"/>
    </row>
    <row r="9" spans="1:10" s="46" customFormat="1" ht="12" customHeight="1" thickBot="1">
      <c r="A9" s="25"/>
      <c r="B9" s="25"/>
      <c r="C9" s="25"/>
      <c r="D9" s="25"/>
      <c r="E9" s="25"/>
      <c r="F9" s="25"/>
      <c r="G9" s="19"/>
      <c r="H9" s="19"/>
    </row>
    <row r="10" spans="1:10" s="46" customFormat="1" ht="20.100000000000001" customHeight="1" thickTop="1" thickBot="1">
      <c r="A10" s="26" t="s">
        <v>113</v>
      </c>
      <c r="B10" s="27" t="s">
        <v>114</v>
      </c>
      <c r="C10" s="28" t="s">
        <v>115</v>
      </c>
      <c r="D10" s="26" t="s">
        <v>116</v>
      </c>
      <c r="E10" s="761" t="s">
        <v>267</v>
      </c>
      <c r="F10" s="762"/>
      <c r="G10" s="19"/>
      <c r="H10" s="106"/>
      <c r="I10" s="46" t="s">
        <v>524</v>
      </c>
      <c r="J10" s="46" t="s">
        <v>525</v>
      </c>
    </row>
    <row r="11" spans="1:10" s="46" customFormat="1" ht="20.100000000000001" customHeight="1" thickTop="1">
      <c r="A11" s="385" t="s">
        <v>306</v>
      </c>
      <c r="B11" s="320">
        <f>'Data Sheet'!B16</f>
        <v>0</v>
      </c>
      <c r="C11" s="386">
        <f>'FY26-27 FEE Worksheet'!K263</f>
        <v>1.980282767127497</v>
      </c>
      <c r="D11" s="333" t="s">
        <v>307</v>
      </c>
      <c r="E11" s="756">
        <f>B11*C11</f>
        <v>0</v>
      </c>
      <c r="F11" s="757"/>
      <c r="G11" s="19"/>
      <c r="H11" s="731" t="s">
        <v>308</v>
      </c>
      <c r="I11" s="731" t="s">
        <v>562</v>
      </c>
      <c r="J11" s="731" t="s">
        <v>563</v>
      </c>
    </row>
    <row r="12" spans="1:10" s="46" customFormat="1" ht="20.100000000000001" customHeight="1">
      <c r="A12" s="109" t="s">
        <v>309</v>
      </c>
      <c r="B12" s="321">
        <f>'Data Sheet'!B18</f>
        <v>0</v>
      </c>
      <c r="C12" s="386">
        <f>'FY26-27 FEE Worksheet'!K264</f>
        <v>2.606175247929452</v>
      </c>
      <c r="D12" s="333" t="s">
        <v>307</v>
      </c>
      <c r="E12" s="756">
        <f t="shared" ref="E12:E17" si="0">B12*C12</f>
        <v>0</v>
      </c>
      <c r="F12" s="757"/>
      <c r="G12" s="19"/>
      <c r="H12" s="732"/>
      <c r="I12" s="732"/>
      <c r="J12" s="732"/>
    </row>
    <row r="13" spans="1:10" s="46" customFormat="1" ht="20.100000000000001" customHeight="1">
      <c r="A13" s="109" t="s">
        <v>310</v>
      </c>
      <c r="B13" s="321">
        <f>'Data Sheet'!B22</f>
        <v>0</v>
      </c>
      <c r="C13" s="386">
        <f>'FY26-27 FEE Worksheet'!K265</f>
        <v>1.4467350785750108</v>
      </c>
      <c r="D13" s="333" t="s">
        <v>307</v>
      </c>
      <c r="E13" s="756">
        <f t="shared" si="0"/>
        <v>0</v>
      </c>
      <c r="F13" s="757"/>
      <c r="G13" s="19"/>
      <c r="H13" s="732"/>
      <c r="I13" s="732"/>
      <c r="J13" s="732"/>
    </row>
    <row r="14" spans="1:10" s="46" customFormat="1" ht="20.100000000000001" customHeight="1">
      <c r="A14" s="109" t="s">
        <v>311</v>
      </c>
      <c r="B14" s="321">
        <f>'Data Sheet'!B20</f>
        <v>0</v>
      </c>
      <c r="C14" s="517">
        <f>C11</f>
        <v>1.980282767127497</v>
      </c>
      <c r="D14" s="333" t="s">
        <v>307</v>
      </c>
      <c r="E14" s="756">
        <f t="shared" si="0"/>
        <v>0</v>
      </c>
      <c r="F14" s="757"/>
      <c r="G14" s="19"/>
      <c r="H14" s="732"/>
      <c r="I14" s="732"/>
      <c r="J14" s="732"/>
    </row>
    <row r="15" spans="1:10" s="46" customFormat="1" ht="20.100000000000001" customHeight="1">
      <c r="A15" s="109" t="s">
        <v>312</v>
      </c>
      <c r="B15" s="321">
        <f>'Data Sheet'!B24</f>
        <v>0</v>
      </c>
      <c r="C15" s="386">
        <f>'FY26-27 FEE Worksheet'!K270</f>
        <v>2.1957539490429245</v>
      </c>
      <c r="D15" s="333" t="s">
        <v>313</v>
      </c>
      <c r="E15" s="756">
        <f t="shared" si="0"/>
        <v>0</v>
      </c>
      <c r="F15" s="757"/>
      <c r="G15" s="19"/>
      <c r="H15" s="732"/>
      <c r="I15" s="732"/>
      <c r="J15" s="732"/>
    </row>
    <row r="16" spans="1:10" s="46" customFormat="1" ht="20.100000000000001" customHeight="1">
      <c r="A16" s="109" t="s">
        <v>314</v>
      </c>
      <c r="B16" s="321">
        <f>'Data Sheet'!B27</f>
        <v>0</v>
      </c>
      <c r="C16" s="386">
        <f>'FY26-27 FEE Worksheet'!K271</f>
        <v>3.6117074302014456</v>
      </c>
      <c r="D16" s="333" t="s">
        <v>313</v>
      </c>
      <c r="E16" s="756">
        <f t="shared" si="0"/>
        <v>0</v>
      </c>
      <c r="F16" s="757"/>
      <c r="G16" s="19"/>
      <c r="H16" s="732"/>
      <c r="I16" s="732"/>
      <c r="J16" s="732"/>
    </row>
    <row r="17" spans="1:10" s="46" customFormat="1" ht="20.100000000000001" customHeight="1" thickBot="1">
      <c r="A17" s="110" t="s">
        <v>315</v>
      </c>
      <c r="B17" s="322">
        <f>'Data Sheet'!B28+'Data Sheet'!B29</f>
        <v>0</v>
      </c>
      <c r="C17" s="387">
        <f>'FY26-27 FEE Worksheet'!K272</f>
        <v>1.5390798708244797</v>
      </c>
      <c r="D17" s="388" t="s">
        <v>313</v>
      </c>
      <c r="E17" s="758">
        <f t="shared" si="0"/>
        <v>0</v>
      </c>
      <c r="F17" s="759"/>
      <c r="G17" s="19"/>
      <c r="H17" s="733"/>
      <c r="I17" s="733"/>
      <c r="J17" s="733"/>
    </row>
    <row r="18" spans="1:10" s="46" customFormat="1" ht="20.100000000000001" customHeight="1" thickTop="1">
      <c r="A18" s="29" t="s">
        <v>316</v>
      </c>
      <c r="B18" s="333"/>
      <c r="C18" s="386"/>
      <c r="D18" s="333"/>
      <c r="E18" s="692">
        <f>SUM(E11:F14)</f>
        <v>0</v>
      </c>
      <c r="F18" s="692"/>
      <c r="G18" s="19"/>
      <c r="H18" s="107"/>
    </row>
    <row r="19" spans="1:10" s="46" customFormat="1" ht="20.100000000000001" customHeight="1">
      <c r="A19" s="29" t="s">
        <v>317</v>
      </c>
      <c r="B19" s="333"/>
      <c r="C19" s="386"/>
      <c r="D19" s="333"/>
      <c r="E19" s="670">
        <f>SUM(E15:F17)</f>
        <v>0</v>
      </c>
      <c r="F19" s="670"/>
      <c r="G19" s="19"/>
      <c r="H19" s="108"/>
    </row>
    <row r="20" spans="1:10" s="46" customFormat="1" ht="20.100000000000001" customHeight="1" thickBot="1">
      <c r="A20" s="29" t="s">
        <v>318</v>
      </c>
      <c r="B20" s="30"/>
      <c r="C20" s="386"/>
      <c r="D20" s="333"/>
      <c r="E20" s="760">
        <f>IF((B7="N"),0,(-MIN(E18:E19)*0.15))</f>
        <v>0</v>
      </c>
      <c r="F20" s="760"/>
      <c r="G20" s="19"/>
      <c r="H20" s="107"/>
    </row>
    <row r="21" spans="1:10" s="46" customFormat="1" ht="20.100000000000001" customHeight="1" thickTop="1" thickBot="1">
      <c r="A21" s="728" t="s">
        <v>319</v>
      </c>
      <c r="B21" s="729"/>
      <c r="C21" s="729"/>
      <c r="D21" s="730"/>
      <c r="E21" s="734">
        <f>SUM(E18:F20)</f>
        <v>0</v>
      </c>
      <c r="F21" s="735"/>
      <c r="G21" s="19"/>
      <c r="H21" s="19"/>
    </row>
    <row r="22" spans="1:10" s="46" customFormat="1" ht="16.2" thickTop="1">
      <c r="A22" s="304" t="s">
        <v>570</v>
      </c>
      <c r="B22" s="19"/>
      <c r="C22" s="19"/>
      <c r="D22" s="19"/>
      <c r="E22" s="19"/>
      <c r="F22" s="19"/>
      <c r="G22" s="19"/>
      <c r="H22" s="19"/>
    </row>
    <row r="23" spans="1:10" s="46" customFormat="1" ht="16.2" hidden="1" thickBot="1">
      <c r="A23" s="753" t="s">
        <v>247</v>
      </c>
      <c r="B23" s="754"/>
      <c r="C23" s="754"/>
      <c r="D23" s="754"/>
      <c r="E23" s="754"/>
      <c r="F23" s="755"/>
      <c r="G23" s="19"/>
      <c r="H23" s="19"/>
    </row>
    <row r="24" spans="1:10" s="46" customFormat="1" ht="20.100000000000001" hidden="1" customHeight="1">
      <c r="A24" s="19" t="s">
        <v>320</v>
      </c>
      <c r="B24" s="93" t="s">
        <v>321</v>
      </c>
      <c r="C24" s="93" t="s">
        <v>322</v>
      </c>
      <c r="D24" s="19"/>
      <c r="E24" s="19"/>
      <c r="F24" s="19"/>
      <c r="G24" s="19"/>
      <c r="H24" s="19"/>
    </row>
    <row r="25" spans="1:10" s="46" customFormat="1" ht="20.100000000000001" hidden="1" customHeight="1">
      <c r="A25" s="19" t="s">
        <v>323</v>
      </c>
      <c r="B25" s="93" t="s">
        <v>324</v>
      </c>
      <c r="C25" s="93"/>
      <c r="D25" s="19"/>
      <c r="E25" s="19"/>
      <c r="F25" s="19"/>
      <c r="G25" s="19"/>
      <c r="H25" s="19"/>
    </row>
    <row r="26" spans="1:10" hidden="1">
      <c r="A26" s="18"/>
      <c r="B26" s="18"/>
      <c r="C26" s="18"/>
      <c r="D26" s="18"/>
      <c r="E26" s="18"/>
      <c r="F26" s="18"/>
      <c r="G26" s="18"/>
      <c r="H26" s="18"/>
    </row>
    <row r="27" spans="1:10" hidden="1">
      <c r="A27" s="111" t="s">
        <v>325</v>
      </c>
      <c r="B27" s="111"/>
      <c r="C27" s="111"/>
      <c r="D27" s="111"/>
      <c r="E27" s="111"/>
      <c r="F27" s="111"/>
      <c r="G27" s="18"/>
      <c r="H27" s="18"/>
    </row>
    <row r="28" spans="1:10" ht="26.25" hidden="1" customHeight="1">
      <c r="A28" s="752" t="s">
        <v>326</v>
      </c>
      <c r="B28" s="752"/>
      <c r="C28" s="752"/>
      <c r="D28" s="752"/>
      <c r="E28" s="752"/>
      <c r="F28" s="752"/>
      <c r="G28" s="18"/>
      <c r="H28" s="18"/>
    </row>
    <row r="29" spans="1:10" ht="38.25" hidden="1" customHeight="1">
      <c r="A29" s="751" t="s">
        <v>327</v>
      </c>
      <c r="B29" s="751"/>
      <c r="C29" s="751"/>
      <c r="D29" s="751"/>
      <c r="E29" s="751"/>
      <c r="F29" s="751"/>
      <c r="G29" s="18"/>
      <c r="H29" s="18"/>
    </row>
    <row r="30" spans="1:10" hidden="1">
      <c r="A30" s="111" t="s">
        <v>328</v>
      </c>
      <c r="B30" s="111"/>
      <c r="C30" s="111"/>
      <c r="D30" s="111"/>
      <c r="E30" s="111"/>
      <c r="F30" s="111"/>
      <c r="G30" s="18"/>
      <c r="H30" s="18"/>
    </row>
    <row r="31" spans="1:10" hidden="1">
      <c r="A31" s="111" t="s">
        <v>329</v>
      </c>
      <c r="B31" s="111"/>
      <c r="C31" s="111"/>
      <c r="D31" s="111"/>
      <c r="E31" s="111"/>
      <c r="F31" s="111"/>
      <c r="G31" s="18"/>
      <c r="H31" s="18"/>
    </row>
    <row r="32" spans="1:10" hidden="1">
      <c r="A32" s="111" t="s">
        <v>330</v>
      </c>
      <c r="B32" s="111"/>
      <c r="C32" s="111"/>
      <c r="D32" s="111"/>
      <c r="E32" s="111"/>
      <c r="F32" s="111"/>
      <c r="G32" s="18"/>
      <c r="H32" s="18"/>
    </row>
    <row r="33" spans="1:8" hidden="1">
      <c r="A33" s="111" t="s">
        <v>331</v>
      </c>
      <c r="B33" s="111"/>
      <c r="C33" s="111"/>
      <c r="D33" s="111"/>
      <c r="E33" s="111"/>
      <c r="F33" s="111"/>
      <c r="G33" s="18"/>
      <c r="H33" s="18"/>
    </row>
    <row r="34" spans="1:8" hidden="1"/>
    <row r="35" spans="1:8" hidden="1"/>
    <row r="36" spans="1:8" hidden="1"/>
    <row r="43" spans="1:8">
      <c r="H43" s="96"/>
    </row>
    <row r="44" spans="1:8">
      <c r="H44" s="96"/>
    </row>
    <row r="45" spans="1:8">
      <c r="H45" s="96"/>
    </row>
    <row r="46" spans="1:8">
      <c r="H46" s="96"/>
    </row>
    <row r="47" spans="1:8">
      <c r="H47" s="96"/>
    </row>
    <row r="48" spans="1:8">
      <c r="H48" s="96"/>
    </row>
    <row r="49" spans="8:8">
      <c r="H49" s="96"/>
    </row>
    <row r="50" spans="8:8">
      <c r="H50" s="96"/>
    </row>
    <row r="51" spans="8:8">
      <c r="H51" s="96"/>
    </row>
    <row r="52" spans="8:8">
      <c r="H52" s="96"/>
    </row>
    <row r="53" spans="8:8">
      <c r="H53" s="96"/>
    </row>
  </sheetData>
  <sheetProtection algorithmName="SHA-512" hashValue="L0N7gj/ZDCYkfDt2NdRSXWJRdo4KR+PdnPi8j8mGo5uNf92NYOjWNykqwrwqEDBWoe2339S8+oYbDZQUpxyGAA==" saltValue="CVe51wPGOPYLt3hm3fLp5w==" spinCount="100000" sheet="1" objects="1" scenarios="1" selectLockedCells="1"/>
  <mergeCells count="27">
    <mergeCell ref="I11:I17"/>
    <mergeCell ref="J11:J17"/>
    <mergeCell ref="E10:F10"/>
    <mergeCell ref="B5:C5"/>
    <mergeCell ref="B6:C6"/>
    <mergeCell ref="A1:F1"/>
    <mergeCell ref="A2:F2"/>
    <mergeCell ref="B8:C8"/>
    <mergeCell ref="E8:F8"/>
    <mergeCell ref="B3:F3"/>
    <mergeCell ref="B4:F4"/>
    <mergeCell ref="A29:F29"/>
    <mergeCell ref="A28:F28"/>
    <mergeCell ref="H11:H17"/>
    <mergeCell ref="A23:F23"/>
    <mergeCell ref="A21:D21"/>
    <mergeCell ref="E21:F21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</mergeCells>
  <conditionalFormatting sqref="E11:E17">
    <cfRule type="cellIs" dxfId="1" priority="3" stopIfTrue="1" operator="equal">
      <formula>0</formula>
    </cfRule>
  </conditionalFormatting>
  <pageMargins left="0.7" right="0.7" top="0.75" bottom="0.75" header="0.3" footer="0.3"/>
  <pageSetup scale="58" fitToHeight="0" orientation="portrait" r:id="rId1"/>
  <headerFooter>
    <oddHeader>&amp;RDocument Prepared on &amp;D</oddHeader>
    <oddFooter>&amp;L&amp;F&amp;R&amp;P</oddFooter>
  </headerFooter>
  <ignoredErrors>
    <ignoredError sqref="B3:B6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85F0E-2946-46FE-8D60-6C16F797DDB1}">
  <sheetPr>
    <tabColor theme="2" tint="-0.249977111117893"/>
    <pageSetUpPr fitToPage="1"/>
  </sheetPr>
  <dimension ref="A1:G19"/>
  <sheetViews>
    <sheetView zoomScaleNormal="100" workbookViewId="0">
      <selection activeCell="E10" activeCellId="3" sqref="B3:E6 C10:D12 B10:B12 E10:E12"/>
    </sheetView>
  </sheetViews>
  <sheetFormatPr defaultColWidth="9.33203125" defaultRowHeight="13.8"/>
  <cols>
    <col min="1" max="1" width="42.44140625" style="18" customWidth="1"/>
    <col min="2" max="2" width="18.33203125" style="18" customWidth="1"/>
    <col min="3" max="3" width="16.33203125" style="18" customWidth="1"/>
    <col min="4" max="4" width="18.109375" style="18" customWidth="1"/>
    <col min="5" max="5" width="30.6640625" style="18" customWidth="1"/>
    <col min="6" max="6" width="16.44140625" style="18" customWidth="1"/>
    <col min="7" max="16384" width="9.33203125" style="18"/>
  </cols>
  <sheetData>
    <row r="1" spans="1:7" ht="50.1" customHeight="1">
      <c r="A1" s="525" t="s">
        <v>332</v>
      </c>
      <c r="B1" s="526"/>
      <c r="C1" s="526"/>
      <c r="D1" s="526"/>
      <c r="E1" s="527"/>
    </row>
    <row r="2" spans="1:7" ht="50.1" customHeight="1" thickBot="1">
      <c r="A2" s="528" t="s">
        <v>305</v>
      </c>
      <c r="B2" s="529"/>
      <c r="C2" s="529"/>
      <c r="D2" s="529"/>
      <c r="E2" s="530"/>
      <c r="G2" s="32"/>
    </row>
    <row r="3" spans="1:7" ht="20.100000000000001" customHeight="1">
      <c r="A3" s="115" t="s">
        <v>265</v>
      </c>
      <c r="B3" s="532">
        <f>'Data Sheet'!B5</f>
        <v>0</v>
      </c>
      <c r="C3" s="533"/>
      <c r="D3" s="533"/>
      <c r="E3" s="534"/>
      <c r="F3" s="20"/>
    </row>
    <row r="4" spans="1:7" ht="20.100000000000001" customHeight="1">
      <c r="A4" s="116" t="s">
        <v>104</v>
      </c>
      <c r="B4" s="535">
        <f>'Data Sheet'!B6</f>
        <v>0</v>
      </c>
      <c r="C4" s="536"/>
      <c r="D4" s="536"/>
      <c r="E4" s="537"/>
    </row>
    <row r="5" spans="1:7" ht="20.100000000000001" customHeight="1">
      <c r="A5" s="116" t="s">
        <v>105</v>
      </c>
      <c r="B5" s="535">
        <f>'Data Sheet'!B7</f>
        <v>0</v>
      </c>
      <c r="C5" s="536"/>
      <c r="D5" s="21"/>
      <c r="E5" s="22"/>
    </row>
    <row r="6" spans="1:7" ht="20.100000000000001" customHeight="1" thickBot="1">
      <c r="A6" s="116" t="s">
        <v>106</v>
      </c>
      <c r="B6" s="541">
        <f>'Data Sheet'!B9</f>
        <v>0</v>
      </c>
      <c r="C6" s="542"/>
      <c r="D6" s="23"/>
      <c r="E6" s="24"/>
    </row>
    <row r="7" spans="1:7" ht="20.100000000000001" customHeight="1" thickBot="1">
      <c r="A7" s="118" t="s">
        <v>110</v>
      </c>
      <c r="B7" s="543"/>
      <c r="C7" s="544"/>
      <c r="D7" s="120" t="s">
        <v>111</v>
      </c>
      <c r="E7" s="119"/>
    </row>
    <row r="8" spans="1:7" ht="10.5" customHeight="1" thickBot="1">
      <c r="A8" s="25"/>
      <c r="B8" s="25"/>
      <c r="C8" s="25"/>
      <c r="D8" s="25"/>
      <c r="E8" s="25"/>
      <c r="F8" s="20"/>
    </row>
    <row r="9" spans="1:7" ht="20.100000000000001" customHeight="1" thickTop="1" thickBot="1">
      <c r="A9" s="26" t="s">
        <v>113</v>
      </c>
      <c r="B9" s="27" t="s">
        <v>114</v>
      </c>
      <c r="C9" s="28" t="s">
        <v>115</v>
      </c>
      <c r="D9" s="26" t="s">
        <v>333</v>
      </c>
      <c r="E9" s="27" t="s">
        <v>267</v>
      </c>
    </row>
    <row r="10" spans="1:7" ht="20.100000000000001" customHeight="1" thickTop="1">
      <c r="A10" s="29" t="s">
        <v>334</v>
      </c>
      <c r="B10" s="320">
        <f>'Data Sheet'!B16+'Data Sheet'!B18+'Data Sheet'!B22</f>
        <v>0</v>
      </c>
      <c r="C10" s="313">
        <v>5.17</v>
      </c>
      <c r="D10" s="333" t="s">
        <v>335</v>
      </c>
      <c r="E10" s="319">
        <f>B10*C10</f>
        <v>0</v>
      </c>
    </row>
    <row r="11" spans="1:7" ht="20.100000000000001" customHeight="1">
      <c r="A11" s="29" t="s">
        <v>122</v>
      </c>
      <c r="B11" s="321">
        <f>'Data Sheet'!B24+'Data Sheet'!B25+'Data Sheet'!B27+'Data Sheet'!B28+'Data Sheet'!B29+'Data Sheet'!B30</f>
        <v>0</v>
      </c>
      <c r="C11" s="313">
        <v>0.84</v>
      </c>
      <c r="D11" s="333" t="s">
        <v>335</v>
      </c>
      <c r="E11" s="319">
        <f t="shared" ref="E11:E12" si="0">B11*C11</f>
        <v>0</v>
      </c>
      <c r="F11" s="19"/>
    </row>
    <row r="12" spans="1:7" ht="20.100000000000001" customHeight="1" thickBot="1">
      <c r="A12" s="31" t="s">
        <v>336</v>
      </c>
      <c r="B12" s="322">
        <f>'Data Sheet'!B26</f>
        <v>0</v>
      </c>
      <c r="C12" s="314">
        <v>0.04</v>
      </c>
      <c r="D12" s="30" t="s">
        <v>335</v>
      </c>
      <c r="E12" s="319">
        <f t="shared" si="0"/>
        <v>0</v>
      </c>
      <c r="F12" s="19"/>
    </row>
    <row r="13" spans="1:7" ht="20.100000000000001" customHeight="1" thickTop="1" thickBot="1">
      <c r="A13" s="538" t="s">
        <v>337</v>
      </c>
      <c r="B13" s="539"/>
      <c r="C13" s="539"/>
      <c r="D13" s="540"/>
      <c r="E13" s="323">
        <f>SUM(E10:E12)</f>
        <v>0</v>
      </c>
      <c r="F13" s="19"/>
    </row>
    <row r="14" spans="1:7" ht="18" thickTop="1">
      <c r="A14" s="305" t="s">
        <v>570</v>
      </c>
      <c r="B14" s="33"/>
      <c r="C14" s="34"/>
      <c r="D14" s="35"/>
      <c r="E14" s="36"/>
      <c r="F14" s="19"/>
    </row>
    <row r="15" spans="1:7" s="37" customFormat="1" ht="24.9" hidden="1" customHeight="1">
      <c r="A15" s="524" t="s">
        <v>338</v>
      </c>
      <c r="B15" s="524"/>
      <c r="C15" s="524"/>
      <c r="D15" s="524"/>
      <c r="E15" s="336"/>
    </row>
    <row r="16" spans="1:7" ht="24.9" hidden="1" customHeight="1">
      <c r="A16" s="524" t="s">
        <v>339</v>
      </c>
      <c r="B16" s="524"/>
      <c r="C16" s="524"/>
      <c r="D16" s="524"/>
      <c r="E16" s="524"/>
    </row>
    <row r="17" spans="1:5" ht="29.25" hidden="1" customHeight="1">
      <c r="A17" s="531" t="s">
        <v>340</v>
      </c>
      <c r="B17" s="531"/>
      <c r="C17" s="531"/>
      <c r="D17" s="531"/>
      <c r="E17" s="531"/>
    </row>
    <row r="18" spans="1:5" ht="31.5" hidden="1" customHeight="1">
      <c r="A18" s="531" t="s">
        <v>341</v>
      </c>
      <c r="B18" s="531"/>
      <c r="C18" s="531"/>
      <c r="D18" s="531"/>
      <c r="E18" s="531"/>
    </row>
    <row r="19" spans="1:5" ht="20.100000000000001" customHeight="1"/>
  </sheetData>
  <sheetProtection algorithmName="SHA-512" hashValue="WsSUswKUALCbxhx68GlVKTbUKZU0EBViTU7IVDZW4qTiq3RGqyXB8VoEyFj6jA/gQx8r/MU2N857zVLVTUlEDQ==" saltValue="RsAB0e+9TjAhPUD6JHDH9A==" spinCount="100000" sheet="1" objects="1" scenarios="1" selectLockedCells="1"/>
  <mergeCells count="12">
    <mergeCell ref="A16:E16"/>
    <mergeCell ref="A1:E1"/>
    <mergeCell ref="A2:E2"/>
    <mergeCell ref="A17:E17"/>
    <mergeCell ref="A18:E18"/>
    <mergeCell ref="B3:E3"/>
    <mergeCell ref="B4:E4"/>
    <mergeCell ref="A13:D13"/>
    <mergeCell ref="A15:D15"/>
    <mergeCell ref="B5:C5"/>
    <mergeCell ref="B6:C6"/>
    <mergeCell ref="B7:C7"/>
  </mergeCells>
  <conditionalFormatting sqref="E10:E12">
    <cfRule type="cellIs" dxfId="0" priority="2" stopIfTrue="1" operator="equal">
      <formula>0</formula>
    </cfRule>
  </conditionalFormatting>
  <pageMargins left="0.7" right="0.7" top="0.75" bottom="0.75" header="0.3" footer="0.3"/>
  <pageSetup scale="79" fitToHeight="0" orientation="portrait" r:id="rId1"/>
  <headerFooter>
    <oddHeader>&amp;RDocument Prepared on &amp;D</oddHeader>
    <oddFooter>&amp;L&amp;F&amp;R&amp;P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EB0E6-EB2C-4147-936C-E778A5655796}">
  <dimension ref="A1:M51"/>
  <sheetViews>
    <sheetView topLeftCell="A6" workbookViewId="0">
      <selection activeCell="P15" sqref="P15"/>
    </sheetView>
  </sheetViews>
  <sheetFormatPr defaultColWidth="9.33203125" defaultRowHeight="13.2"/>
  <cols>
    <col min="1" max="1" width="17.6640625" style="1" customWidth="1"/>
    <col min="2" max="2" width="10.6640625" style="1" customWidth="1"/>
    <col min="3" max="3" width="11.109375" style="1" customWidth="1"/>
    <col min="4" max="4" width="12.44140625" style="1" bestFit="1" customWidth="1"/>
    <col min="5" max="5" width="15.109375" style="1" bestFit="1" customWidth="1"/>
    <col min="6" max="6" width="18.6640625" style="1" customWidth="1"/>
    <col min="7" max="7" width="3.33203125" style="1" customWidth="1"/>
    <col min="8" max="8" width="15.77734375" style="1" customWidth="1"/>
    <col min="9" max="9" width="10.77734375" style="1" customWidth="1"/>
    <col min="10" max="10" width="10.6640625" style="1" customWidth="1"/>
    <col min="11" max="12" width="11.77734375" style="1" customWidth="1"/>
    <col min="13" max="13" width="20" style="1" customWidth="1"/>
    <col min="14" max="16384" width="9.33203125" style="1"/>
  </cols>
  <sheetData>
    <row r="1" spans="1:13" ht="20.399999999999999">
      <c r="A1" s="769" t="s">
        <v>342</v>
      </c>
      <c r="B1" s="769"/>
      <c r="C1" s="769"/>
      <c r="D1" s="769"/>
      <c r="E1" s="769"/>
      <c r="F1" s="769"/>
      <c r="G1" s="769"/>
      <c r="H1" s="769"/>
      <c r="I1" s="769"/>
      <c r="J1" s="769"/>
      <c r="K1" s="769"/>
      <c r="L1" s="769"/>
      <c r="M1" s="769"/>
    </row>
    <row r="2" spans="1:13" ht="20.100000000000001" customHeight="1">
      <c r="A2" s="770" t="s">
        <v>343</v>
      </c>
      <c r="B2" s="770"/>
      <c r="C2" s="770"/>
      <c r="D2" s="770"/>
      <c r="E2" s="770"/>
      <c r="F2" s="770"/>
      <c r="G2" s="770"/>
      <c r="H2" s="770"/>
      <c r="I2" s="770"/>
      <c r="J2" s="770"/>
      <c r="K2" s="770"/>
      <c r="L2" s="770"/>
      <c r="M2" s="770"/>
    </row>
    <row r="3" spans="1:13" ht="13.8" thickBot="1">
      <c r="A3" s="771"/>
      <c r="B3" s="771"/>
      <c r="C3" s="771"/>
      <c r="D3" s="771"/>
      <c r="E3" s="771"/>
      <c r="F3" s="771"/>
      <c r="G3" s="771"/>
      <c r="H3" s="771"/>
      <c r="I3" s="771"/>
      <c r="J3" s="771"/>
      <c r="K3" s="771"/>
      <c r="L3" s="771"/>
      <c r="M3" s="771"/>
    </row>
    <row r="4" spans="1:13" s="2" customFormat="1" ht="20.100000000000001" customHeight="1">
      <c r="A4" s="772" t="s">
        <v>6</v>
      </c>
      <c r="B4" s="773"/>
      <c r="C4" s="774"/>
      <c r="D4" s="775">
        <f>'[1]Data Sheet'!B8</f>
        <v>0</v>
      </c>
      <c r="E4" s="776"/>
      <c r="F4" s="776"/>
      <c r="G4" s="776"/>
      <c r="H4" s="776"/>
      <c r="I4" s="777"/>
      <c r="J4" s="778"/>
      <c r="K4" s="779"/>
      <c r="L4" s="779"/>
      <c r="M4" s="780"/>
    </row>
    <row r="5" spans="1:13" s="2" customFormat="1" ht="20.100000000000001" customHeight="1">
      <c r="A5" s="784" t="s">
        <v>104</v>
      </c>
      <c r="B5" s="785"/>
      <c r="C5" s="786"/>
      <c r="D5" s="787">
        <f>'[1]Data Sheet'!B6</f>
        <v>0</v>
      </c>
      <c r="E5" s="788"/>
      <c r="F5" s="788"/>
      <c r="G5" s="788"/>
      <c r="H5" s="788"/>
      <c r="I5" s="789"/>
      <c r="J5" s="781"/>
      <c r="K5" s="782"/>
      <c r="L5" s="782"/>
      <c r="M5" s="783"/>
    </row>
    <row r="6" spans="1:13" s="2" customFormat="1" ht="20.100000000000001" customHeight="1">
      <c r="A6" s="784" t="s">
        <v>265</v>
      </c>
      <c r="B6" s="785"/>
      <c r="C6" s="786"/>
      <c r="D6" s="787">
        <f>'[1]Data Sheet'!B5</f>
        <v>0</v>
      </c>
      <c r="E6" s="788"/>
      <c r="F6" s="788"/>
      <c r="G6" s="788"/>
      <c r="H6" s="788"/>
      <c r="I6" s="789"/>
      <c r="J6" s="781"/>
      <c r="K6" s="782"/>
      <c r="L6" s="782"/>
      <c r="M6" s="783"/>
    </row>
    <row r="7" spans="1:13" s="2" customFormat="1" ht="20.100000000000001" customHeight="1">
      <c r="A7" s="790" t="s">
        <v>344</v>
      </c>
      <c r="B7" s="791"/>
      <c r="C7" s="792"/>
      <c r="D7" s="787">
        <f>'[1]Data Sheet'!B7</f>
        <v>0</v>
      </c>
      <c r="E7" s="788"/>
      <c r="F7" s="788"/>
      <c r="G7" s="788"/>
      <c r="H7" s="788"/>
      <c r="I7" s="789"/>
      <c r="J7" s="781"/>
      <c r="K7" s="782"/>
      <c r="L7" s="782"/>
      <c r="M7" s="783"/>
    </row>
    <row r="8" spans="1:13" s="2" customFormat="1" ht="20.100000000000001" customHeight="1">
      <c r="A8" s="763" t="s">
        <v>345</v>
      </c>
      <c r="B8" s="764"/>
      <c r="C8" s="765"/>
      <c r="D8" s="787">
        <f>'[1]Data Sheet'!B11</f>
        <v>0</v>
      </c>
      <c r="E8" s="788"/>
      <c r="F8" s="788"/>
      <c r="G8" s="788"/>
      <c r="H8" s="788"/>
      <c r="I8" s="789"/>
      <c r="J8" s="781"/>
      <c r="K8" s="782"/>
      <c r="L8" s="782"/>
      <c r="M8" s="783"/>
    </row>
    <row r="9" spans="1:13" s="2" customFormat="1" ht="13.8" thickBot="1">
      <c r="A9" s="763" t="s">
        <v>346</v>
      </c>
      <c r="B9" s="764"/>
      <c r="C9" s="765"/>
      <c r="D9" s="787"/>
      <c r="E9" s="788"/>
      <c r="F9" s="788"/>
      <c r="G9" s="788"/>
      <c r="H9" s="788"/>
      <c r="I9" s="789"/>
      <c r="J9" s="781"/>
      <c r="K9" s="782"/>
      <c r="L9" s="782"/>
      <c r="M9" s="783"/>
    </row>
    <row r="10" spans="1:13" s="2" customFormat="1" ht="20.100000000000001" customHeight="1">
      <c r="A10" s="763" t="s">
        <v>347</v>
      </c>
      <c r="B10" s="764"/>
      <c r="C10" s="765"/>
      <c r="D10" s="766"/>
      <c r="E10" s="767"/>
      <c r="F10" s="767"/>
      <c r="G10" s="767"/>
      <c r="H10" s="767"/>
      <c r="I10" s="768"/>
      <c r="J10" s="781"/>
      <c r="K10" s="782"/>
      <c r="L10" s="782"/>
      <c r="M10" s="783"/>
    </row>
    <row r="11" spans="1:13" s="2" customFormat="1" ht="13.8" thickBot="1">
      <c r="A11" s="763" t="s">
        <v>348</v>
      </c>
      <c r="B11" s="764"/>
      <c r="C11" s="765"/>
      <c r="D11" s="793"/>
      <c r="E11" s="794"/>
      <c r="F11" s="794"/>
      <c r="G11" s="794"/>
      <c r="H11" s="794"/>
      <c r="I11" s="795"/>
      <c r="J11" s="781"/>
      <c r="K11" s="782"/>
      <c r="L11" s="782"/>
      <c r="M11" s="783"/>
    </row>
    <row r="12" spans="1:13" s="2" customFormat="1" ht="13.8" thickBot="1">
      <c r="A12" s="796"/>
      <c r="B12" s="797"/>
      <c r="C12" s="797"/>
      <c r="D12" s="797"/>
      <c r="E12" s="797"/>
      <c r="F12" s="797"/>
      <c r="G12" s="797"/>
      <c r="H12" s="797"/>
      <c r="I12" s="797"/>
      <c r="K12" s="160" t="s">
        <v>349</v>
      </c>
      <c r="L12" s="798"/>
      <c r="M12" s="799"/>
    </row>
    <row r="13" spans="1:13" s="2" customFormat="1" ht="13.8" thickBot="1">
      <c r="A13" s="17"/>
      <c r="B13" s="15"/>
      <c r="C13" s="15"/>
      <c r="D13" s="16" t="s">
        <v>350</v>
      </c>
      <c r="E13" s="800">
        <f>M47</f>
        <v>0</v>
      </c>
      <c r="F13" s="801"/>
      <c r="G13" s="802"/>
      <c r="H13" s="803"/>
      <c r="I13" s="803"/>
      <c r="J13" s="803"/>
      <c r="K13" s="161" t="s">
        <v>111</v>
      </c>
      <c r="L13" s="798"/>
      <c r="M13" s="799"/>
    </row>
    <row r="14" spans="1:13" s="2" customFormat="1" ht="13.8" thickBot="1">
      <c r="A14" s="7"/>
      <c r="B14" s="7"/>
      <c r="C14" s="7"/>
      <c r="D14" s="7"/>
      <c r="E14" s="7"/>
      <c r="F14" s="14"/>
      <c r="G14" s="7"/>
      <c r="H14" s="7"/>
    </row>
    <row r="15" spans="1:13" s="2" customFormat="1" ht="27.6" thickTop="1" thickBot="1">
      <c r="A15" s="10" t="s">
        <v>351</v>
      </c>
      <c r="B15" s="12" t="s">
        <v>352</v>
      </c>
      <c r="C15" s="12" t="s">
        <v>353</v>
      </c>
      <c r="D15" s="13" t="s">
        <v>354</v>
      </c>
      <c r="E15" s="10" t="s">
        <v>355</v>
      </c>
      <c r="F15" s="9" t="s">
        <v>267</v>
      </c>
      <c r="G15" s="7"/>
      <c r="H15" s="10" t="s">
        <v>351</v>
      </c>
      <c r="I15" s="12" t="s">
        <v>352</v>
      </c>
      <c r="J15" s="12" t="s">
        <v>353</v>
      </c>
      <c r="K15" s="11" t="s">
        <v>354</v>
      </c>
      <c r="L15" s="10" t="s">
        <v>355</v>
      </c>
      <c r="M15" s="9" t="s">
        <v>267</v>
      </c>
    </row>
    <row r="16" spans="1:13" s="2" customFormat="1" ht="20.100000000000001" customHeight="1" thickTop="1">
      <c r="A16" s="121" t="s">
        <v>356</v>
      </c>
      <c r="B16" s="122"/>
      <c r="C16" s="123" t="s">
        <v>357</v>
      </c>
      <c r="D16" s="124" t="s">
        <v>357</v>
      </c>
      <c r="E16" s="8">
        <v>2000</v>
      </c>
      <c r="F16" s="125">
        <f>B16*E16</f>
        <v>0</v>
      </c>
      <c r="G16" s="126"/>
      <c r="H16" s="127">
        <v>2500</v>
      </c>
      <c r="I16" s="122"/>
      <c r="J16" s="122"/>
      <c r="K16" s="128">
        <v>5.96</v>
      </c>
      <c r="L16" s="129" t="s">
        <v>357</v>
      </c>
      <c r="M16" s="130">
        <f t="shared" ref="M16:M46" si="0">I16*J16*K16</f>
        <v>0</v>
      </c>
    </row>
    <row r="17" spans="1:13" s="2" customFormat="1" ht="20.100000000000001" customHeight="1">
      <c r="A17" s="127">
        <v>1000</v>
      </c>
      <c r="B17" s="131"/>
      <c r="C17" s="131"/>
      <c r="D17" s="132">
        <v>4.87</v>
      </c>
      <c r="E17" s="129" t="s">
        <v>357</v>
      </c>
      <c r="F17" s="130">
        <f t="shared" ref="F17:F46" si="1">B17*C17*D17</f>
        <v>0</v>
      </c>
      <c r="G17" s="126"/>
      <c r="H17" s="127">
        <v>2550</v>
      </c>
      <c r="I17" s="131"/>
      <c r="J17" s="131"/>
      <c r="K17" s="128">
        <v>6.01</v>
      </c>
      <c r="L17" s="129" t="s">
        <v>357</v>
      </c>
      <c r="M17" s="130">
        <f t="shared" si="0"/>
        <v>0</v>
      </c>
    </row>
    <row r="18" spans="1:13" s="2" customFormat="1" ht="20.100000000000001" customHeight="1">
      <c r="A18" s="127">
        <v>1050</v>
      </c>
      <c r="B18" s="131"/>
      <c r="C18" s="131"/>
      <c r="D18" s="132">
        <v>4.91</v>
      </c>
      <c r="E18" s="129" t="s">
        <v>357</v>
      </c>
      <c r="F18" s="130">
        <f t="shared" si="1"/>
        <v>0</v>
      </c>
      <c r="G18" s="126"/>
      <c r="H18" s="127">
        <v>2600</v>
      </c>
      <c r="I18" s="131"/>
      <c r="J18" s="131"/>
      <c r="K18" s="128">
        <v>6.03</v>
      </c>
      <c r="L18" s="129" t="s">
        <v>357</v>
      </c>
      <c r="M18" s="130">
        <f t="shared" si="0"/>
        <v>0</v>
      </c>
    </row>
    <row r="19" spans="1:13" s="2" customFormat="1" ht="20.100000000000001" customHeight="1">
      <c r="A19" s="127">
        <v>1100</v>
      </c>
      <c r="B19" s="131"/>
      <c r="C19" s="131"/>
      <c r="D19" s="132">
        <v>4.9400000000000004</v>
      </c>
      <c r="E19" s="129" t="s">
        <v>357</v>
      </c>
      <c r="F19" s="130">
        <f t="shared" si="1"/>
        <v>0</v>
      </c>
      <c r="G19" s="126"/>
      <c r="H19" s="127">
        <v>2650</v>
      </c>
      <c r="I19" s="131"/>
      <c r="J19" s="131"/>
      <c r="K19" s="128">
        <v>6.08</v>
      </c>
      <c r="L19" s="129" t="s">
        <v>357</v>
      </c>
      <c r="M19" s="130">
        <f t="shared" si="0"/>
        <v>0</v>
      </c>
    </row>
    <row r="20" spans="1:13" s="2" customFormat="1" ht="20.100000000000001" customHeight="1">
      <c r="A20" s="127">
        <v>1150</v>
      </c>
      <c r="B20" s="131"/>
      <c r="C20" s="131"/>
      <c r="D20" s="132">
        <v>4.99</v>
      </c>
      <c r="E20" s="129" t="s">
        <v>357</v>
      </c>
      <c r="F20" s="130">
        <f t="shared" si="1"/>
        <v>0</v>
      </c>
      <c r="G20" s="126"/>
      <c r="H20" s="127">
        <v>2700</v>
      </c>
      <c r="I20" s="131"/>
      <c r="J20" s="131"/>
      <c r="K20" s="128">
        <v>6.11</v>
      </c>
      <c r="L20" s="129" t="s">
        <v>357</v>
      </c>
      <c r="M20" s="130">
        <f t="shared" si="0"/>
        <v>0</v>
      </c>
    </row>
    <row r="21" spans="1:13" s="2" customFormat="1" ht="20.100000000000001" customHeight="1">
      <c r="A21" s="127">
        <v>1200</v>
      </c>
      <c r="B21" s="131"/>
      <c r="C21" s="131"/>
      <c r="D21" s="132">
        <v>5.01</v>
      </c>
      <c r="E21" s="129" t="s">
        <v>357</v>
      </c>
      <c r="F21" s="130">
        <f t="shared" si="1"/>
        <v>0</v>
      </c>
      <c r="G21" s="126"/>
      <c r="H21" s="127">
        <v>2750</v>
      </c>
      <c r="I21" s="131"/>
      <c r="J21" s="131"/>
      <c r="K21" s="128">
        <v>6.16</v>
      </c>
      <c r="L21" s="129" t="s">
        <v>357</v>
      </c>
      <c r="M21" s="130">
        <f t="shared" si="0"/>
        <v>0</v>
      </c>
    </row>
    <row r="22" spans="1:13" s="2" customFormat="1" ht="20.100000000000001" customHeight="1">
      <c r="A22" s="127">
        <v>1250</v>
      </c>
      <c r="B22" s="131"/>
      <c r="C22" s="131"/>
      <c r="D22" s="132">
        <v>5.0599999999999996</v>
      </c>
      <c r="E22" s="129" t="s">
        <v>357</v>
      </c>
      <c r="F22" s="130">
        <f t="shared" si="1"/>
        <v>0</v>
      </c>
      <c r="G22" s="126"/>
      <c r="H22" s="127">
        <v>2800</v>
      </c>
      <c r="I22" s="131"/>
      <c r="J22" s="131"/>
      <c r="K22" s="128">
        <v>6.18</v>
      </c>
      <c r="L22" s="129" t="s">
        <v>357</v>
      </c>
      <c r="M22" s="130">
        <f t="shared" si="0"/>
        <v>0</v>
      </c>
    </row>
    <row r="23" spans="1:13" s="2" customFormat="1" ht="20.100000000000001" customHeight="1">
      <c r="A23" s="127">
        <v>1300</v>
      </c>
      <c r="B23" s="131"/>
      <c r="C23" s="131"/>
      <c r="D23" s="132">
        <v>5.09</v>
      </c>
      <c r="E23" s="129" t="s">
        <v>357</v>
      </c>
      <c r="F23" s="130">
        <f t="shared" si="1"/>
        <v>0</v>
      </c>
      <c r="G23" s="126"/>
      <c r="H23" s="127">
        <v>2850</v>
      </c>
      <c r="I23" s="131"/>
      <c r="J23" s="131"/>
      <c r="K23" s="128">
        <v>6.23</v>
      </c>
      <c r="L23" s="129" t="s">
        <v>357</v>
      </c>
      <c r="M23" s="130">
        <f t="shared" si="0"/>
        <v>0</v>
      </c>
    </row>
    <row r="24" spans="1:13" s="2" customFormat="1" ht="20.100000000000001" customHeight="1">
      <c r="A24" s="127">
        <v>1350</v>
      </c>
      <c r="B24" s="131"/>
      <c r="C24" s="131"/>
      <c r="D24" s="132">
        <v>5.13</v>
      </c>
      <c r="E24" s="129" t="s">
        <v>357</v>
      </c>
      <c r="F24" s="130">
        <f t="shared" si="1"/>
        <v>0</v>
      </c>
      <c r="G24" s="126"/>
      <c r="H24" s="127">
        <v>2900</v>
      </c>
      <c r="I24" s="131"/>
      <c r="J24" s="131"/>
      <c r="K24" s="128">
        <v>6.25</v>
      </c>
      <c r="L24" s="129" t="s">
        <v>357</v>
      </c>
      <c r="M24" s="130">
        <f t="shared" si="0"/>
        <v>0</v>
      </c>
    </row>
    <row r="25" spans="1:13" s="2" customFormat="1" ht="20.100000000000001" customHeight="1">
      <c r="A25" s="127">
        <v>1400</v>
      </c>
      <c r="B25" s="131"/>
      <c r="C25" s="131"/>
      <c r="D25" s="132">
        <v>5.16</v>
      </c>
      <c r="E25" s="129" t="s">
        <v>357</v>
      </c>
      <c r="F25" s="130">
        <f t="shared" si="1"/>
        <v>0</v>
      </c>
      <c r="G25" s="126"/>
      <c r="H25" s="127">
        <v>2950</v>
      </c>
      <c r="I25" s="131"/>
      <c r="J25" s="131"/>
      <c r="K25" s="128">
        <v>6.3</v>
      </c>
      <c r="L25" s="129" t="s">
        <v>357</v>
      </c>
      <c r="M25" s="130">
        <f t="shared" si="0"/>
        <v>0</v>
      </c>
    </row>
    <row r="26" spans="1:13" s="2" customFormat="1" ht="20.100000000000001" customHeight="1">
      <c r="A26" s="127">
        <v>1450</v>
      </c>
      <c r="B26" s="131"/>
      <c r="C26" s="131"/>
      <c r="D26" s="132">
        <v>5.21</v>
      </c>
      <c r="E26" s="129" t="s">
        <v>357</v>
      </c>
      <c r="F26" s="130">
        <f t="shared" si="1"/>
        <v>0</v>
      </c>
      <c r="G26" s="126"/>
      <c r="H26" s="127">
        <v>3000</v>
      </c>
      <c r="I26" s="131"/>
      <c r="J26" s="131"/>
      <c r="K26" s="128">
        <v>6.33</v>
      </c>
      <c r="L26" s="129" t="s">
        <v>357</v>
      </c>
      <c r="M26" s="130">
        <f t="shared" si="0"/>
        <v>0</v>
      </c>
    </row>
    <row r="27" spans="1:13" s="2" customFormat="1" ht="20.100000000000001" customHeight="1">
      <c r="A27" s="127">
        <v>1500</v>
      </c>
      <c r="B27" s="131"/>
      <c r="C27" s="131"/>
      <c r="D27" s="132">
        <v>5.23</v>
      </c>
      <c r="E27" s="129" t="s">
        <v>357</v>
      </c>
      <c r="F27" s="130">
        <f t="shared" si="1"/>
        <v>0</v>
      </c>
      <c r="G27" s="126"/>
      <c r="H27" s="127">
        <v>3050</v>
      </c>
      <c r="I27" s="131"/>
      <c r="J27" s="131"/>
      <c r="K27" s="128">
        <v>6.37</v>
      </c>
      <c r="L27" s="129" t="s">
        <v>357</v>
      </c>
      <c r="M27" s="130">
        <f t="shared" si="0"/>
        <v>0</v>
      </c>
    </row>
    <row r="28" spans="1:13" s="2" customFormat="1" ht="20.100000000000001" customHeight="1">
      <c r="A28" s="127">
        <v>1550</v>
      </c>
      <c r="B28" s="131"/>
      <c r="C28" s="131"/>
      <c r="D28" s="132">
        <v>5.28</v>
      </c>
      <c r="E28" s="129" t="s">
        <v>357</v>
      </c>
      <c r="F28" s="130">
        <f t="shared" si="1"/>
        <v>0</v>
      </c>
      <c r="G28" s="126"/>
      <c r="H28" s="127">
        <v>3100</v>
      </c>
      <c r="I28" s="131"/>
      <c r="J28" s="131"/>
      <c r="K28" s="128">
        <v>6.4</v>
      </c>
      <c r="L28" s="129" t="s">
        <v>357</v>
      </c>
      <c r="M28" s="130">
        <f t="shared" si="0"/>
        <v>0</v>
      </c>
    </row>
    <row r="29" spans="1:13" s="2" customFormat="1" ht="20.100000000000001" customHeight="1">
      <c r="A29" s="127">
        <v>1600</v>
      </c>
      <c r="B29" s="131"/>
      <c r="C29" s="131"/>
      <c r="D29" s="132">
        <v>5.3</v>
      </c>
      <c r="E29" s="129" t="s">
        <v>357</v>
      </c>
      <c r="F29" s="130">
        <f t="shared" si="1"/>
        <v>0</v>
      </c>
      <c r="G29" s="126"/>
      <c r="H29" s="127">
        <v>3150</v>
      </c>
      <c r="I29" s="131"/>
      <c r="J29" s="131"/>
      <c r="K29" s="128">
        <v>6.45</v>
      </c>
      <c r="L29" s="129" t="s">
        <v>357</v>
      </c>
      <c r="M29" s="130">
        <f t="shared" si="0"/>
        <v>0</v>
      </c>
    </row>
    <row r="30" spans="1:13" s="2" customFormat="1" ht="20.100000000000001" customHeight="1">
      <c r="A30" s="127">
        <v>1650</v>
      </c>
      <c r="B30" s="131"/>
      <c r="C30" s="131"/>
      <c r="D30" s="132">
        <v>5.35</v>
      </c>
      <c r="E30" s="129" t="s">
        <v>357</v>
      </c>
      <c r="F30" s="130">
        <f t="shared" si="1"/>
        <v>0</v>
      </c>
      <c r="G30" s="126"/>
      <c r="H30" s="127">
        <v>3200</v>
      </c>
      <c r="I30" s="131"/>
      <c r="J30" s="131"/>
      <c r="K30" s="128">
        <v>6.47</v>
      </c>
      <c r="L30" s="129" t="s">
        <v>357</v>
      </c>
      <c r="M30" s="130">
        <f t="shared" si="0"/>
        <v>0</v>
      </c>
    </row>
    <row r="31" spans="1:13" s="2" customFormat="1" ht="20.100000000000001" customHeight="1">
      <c r="A31" s="127">
        <v>1700</v>
      </c>
      <c r="B31" s="131"/>
      <c r="C31" s="131"/>
      <c r="D31" s="132">
        <v>5.38</v>
      </c>
      <c r="E31" s="129" t="s">
        <v>357</v>
      </c>
      <c r="F31" s="130">
        <f t="shared" si="1"/>
        <v>0</v>
      </c>
      <c r="G31" s="126"/>
      <c r="H31" s="127">
        <v>3250</v>
      </c>
      <c r="I31" s="131"/>
      <c r="J31" s="131"/>
      <c r="K31" s="128">
        <v>6.52</v>
      </c>
      <c r="L31" s="129" t="s">
        <v>357</v>
      </c>
      <c r="M31" s="130">
        <f t="shared" si="0"/>
        <v>0</v>
      </c>
    </row>
    <row r="32" spans="1:13" s="2" customFormat="1" ht="20.100000000000001" customHeight="1">
      <c r="A32" s="127">
        <v>1750</v>
      </c>
      <c r="B32" s="131"/>
      <c r="C32" s="133"/>
      <c r="D32" s="132">
        <v>5.43</v>
      </c>
      <c r="E32" s="129" t="s">
        <v>357</v>
      </c>
      <c r="F32" s="130">
        <f t="shared" si="1"/>
        <v>0</v>
      </c>
      <c r="G32" s="126"/>
      <c r="H32" s="127">
        <v>3300</v>
      </c>
      <c r="I32" s="131"/>
      <c r="J32" s="133"/>
      <c r="K32" s="128">
        <v>6.54</v>
      </c>
      <c r="L32" s="129" t="s">
        <v>357</v>
      </c>
      <c r="M32" s="130">
        <f t="shared" si="0"/>
        <v>0</v>
      </c>
    </row>
    <row r="33" spans="1:13" s="2" customFormat="1" ht="20.100000000000001" customHeight="1">
      <c r="A33" s="127">
        <v>1800</v>
      </c>
      <c r="B33" s="131"/>
      <c r="C33" s="133"/>
      <c r="D33" s="132">
        <v>5.45</v>
      </c>
      <c r="E33" s="129" t="s">
        <v>357</v>
      </c>
      <c r="F33" s="130">
        <f t="shared" si="1"/>
        <v>0</v>
      </c>
      <c r="G33" s="126"/>
      <c r="H33" s="127">
        <v>3350</v>
      </c>
      <c r="I33" s="131"/>
      <c r="J33" s="133"/>
      <c r="K33" s="128">
        <v>6.59</v>
      </c>
      <c r="L33" s="129" t="s">
        <v>357</v>
      </c>
      <c r="M33" s="130">
        <f t="shared" si="0"/>
        <v>0</v>
      </c>
    </row>
    <row r="34" spans="1:13" s="2" customFormat="1" ht="20.100000000000001" customHeight="1">
      <c r="A34" s="127">
        <v>1850</v>
      </c>
      <c r="B34" s="131"/>
      <c r="C34" s="133"/>
      <c r="D34" s="132">
        <v>5.5</v>
      </c>
      <c r="E34" s="129" t="s">
        <v>357</v>
      </c>
      <c r="F34" s="130">
        <f t="shared" si="1"/>
        <v>0</v>
      </c>
      <c r="G34" s="126"/>
      <c r="H34" s="127">
        <v>3400</v>
      </c>
      <c r="I34" s="131"/>
      <c r="J34" s="133"/>
      <c r="K34" s="128">
        <v>6.62</v>
      </c>
      <c r="L34" s="129" t="s">
        <v>357</v>
      </c>
      <c r="M34" s="130">
        <f t="shared" si="0"/>
        <v>0</v>
      </c>
    </row>
    <row r="35" spans="1:13" s="2" customFormat="1" ht="20.100000000000001" customHeight="1">
      <c r="A35" s="127">
        <v>1900</v>
      </c>
      <c r="B35" s="131"/>
      <c r="C35" s="133"/>
      <c r="D35" s="132">
        <v>5.52</v>
      </c>
      <c r="E35" s="129" t="s">
        <v>357</v>
      </c>
      <c r="F35" s="130">
        <f t="shared" si="1"/>
        <v>0</v>
      </c>
      <c r="G35" s="126"/>
      <c r="H35" s="127">
        <v>3450</v>
      </c>
      <c r="I35" s="131"/>
      <c r="J35" s="133"/>
      <c r="K35" s="128">
        <v>6.67</v>
      </c>
      <c r="L35" s="129" t="s">
        <v>357</v>
      </c>
      <c r="M35" s="130">
        <f t="shared" si="0"/>
        <v>0</v>
      </c>
    </row>
    <row r="36" spans="1:13" s="2" customFormat="1" ht="20.100000000000001" customHeight="1">
      <c r="A36" s="127">
        <v>1950</v>
      </c>
      <c r="B36" s="131"/>
      <c r="C36" s="133"/>
      <c r="D36" s="132">
        <v>5.57</v>
      </c>
      <c r="E36" s="129" t="s">
        <v>357</v>
      </c>
      <c r="F36" s="130">
        <f t="shared" si="1"/>
        <v>0</v>
      </c>
      <c r="G36" s="126"/>
      <c r="H36" s="127">
        <v>3500</v>
      </c>
      <c r="I36" s="131"/>
      <c r="J36" s="133"/>
      <c r="K36" s="128">
        <v>6.69</v>
      </c>
      <c r="L36" s="129" t="s">
        <v>357</v>
      </c>
      <c r="M36" s="130">
        <f t="shared" si="0"/>
        <v>0</v>
      </c>
    </row>
    <row r="37" spans="1:13" s="2" customFormat="1" ht="20.100000000000001" customHeight="1">
      <c r="A37" s="127">
        <v>2000</v>
      </c>
      <c r="B37" s="131"/>
      <c r="C37" s="133"/>
      <c r="D37" s="132">
        <v>5.6</v>
      </c>
      <c r="E37" s="129" t="s">
        <v>357</v>
      </c>
      <c r="F37" s="130">
        <f t="shared" si="1"/>
        <v>0</v>
      </c>
      <c r="G37" s="126"/>
      <c r="H37" s="127">
        <v>3550</v>
      </c>
      <c r="I37" s="131"/>
      <c r="J37" s="133"/>
      <c r="K37" s="128">
        <v>6.74</v>
      </c>
      <c r="L37" s="129" t="s">
        <v>357</v>
      </c>
      <c r="M37" s="130">
        <f t="shared" si="0"/>
        <v>0</v>
      </c>
    </row>
    <row r="38" spans="1:13" s="2" customFormat="1" ht="20.100000000000001" customHeight="1">
      <c r="A38" s="127">
        <v>2050</v>
      </c>
      <c r="B38" s="131"/>
      <c r="C38" s="133"/>
      <c r="D38" s="132">
        <v>5.64</v>
      </c>
      <c r="E38" s="129" t="s">
        <v>357</v>
      </c>
      <c r="F38" s="130">
        <f t="shared" si="1"/>
        <v>0</v>
      </c>
      <c r="G38" s="126"/>
      <c r="H38" s="127">
        <v>3600</v>
      </c>
      <c r="I38" s="131"/>
      <c r="J38" s="133"/>
      <c r="K38" s="128">
        <v>6.76</v>
      </c>
      <c r="L38" s="129" t="s">
        <v>357</v>
      </c>
      <c r="M38" s="130">
        <f t="shared" si="0"/>
        <v>0</v>
      </c>
    </row>
    <row r="39" spans="1:13" s="2" customFormat="1" ht="20.100000000000001" customHeight="1">
      <c r="A39" s="127">
        <v>2100</v>
      </c>
      <c r="B39" s="131"/>
      <c r="C39" s="133"/>
      <c r="D39" s="132">
        <v>5.67</v>
      </c>
      <c r="E39" s="129" t="s">
        <v>357</v>
      </c>
      <c r="F39" s="130">
        <f t="shared" si="1"/>
        <v>0</v>
      </c>
      <c r="G39" s="126"/>
      <c r="H39" s="127">
        <v>3650</v>
      </c>
      <c r="I39" s="131"/>
      <c r="J39" s="133"/>
      <c r="K39" s="128">
        <v>6.81</v>
      </c>
      <c r="L39" s="129" t="s">
        <v>357</v>
      </c>
      <c r="M39" s="130">
        <f t="shared" si="0"/>
        <v>0</v>
      </c>
    </row>
    <row r="40" spans="1:13" s="2" customFormat="1" ht="20.100000000000001" customHeight="1">
      <c r="A40" s="127">
        <v>2150</v>
      </c>
      <c r="B40" s="131"/>
      <c r="C40" s="133"/>
      <c r="D40" s="132">
        <v>5.72</v>
      </c>
      <c r="E40" s="129" t="s">
        <v>357</v>
      </c>
      <c r="F40" s="130">
        <f t="shared" si="1"/>
        <v>0</v>
      </c>
      <c r="G40" s="126"/>
      <c r="H40" s="127">
        <v>3700</v>
      </c>
      <c r="I40" s="131"/>
      <c r="J40" s="133"/>
      <c r="K40" s="128">
        <v>6.84</v>
      </c>
      <c r="L40" s="129" t="s">
        <v>357</v>
      </c>
      <c r="M40" s="130">
        <f t="shared" si="0"/>
        <v>0</v>
      </c>
    </row>
    <row r="41" spans="1:13" s="2" customFormat="1" ht="20.100000000000001" customHeight="1">
      <c r="A41" s="127">
        <v>2200</v>
      </c>
      <c r="B41" s="131"/>
      <c r="C41" s="133"/>
      <c r="D41" s="132">
        <v>5.74</v>
      </c>
      <c r="E41" s="129" t="s">
        <v>357</v>
      </c>
      <c r="F41" s="130">
        <f t="shared" si="1"/>
        <v>0</v>
      </c>
      <c r="G41" s="126"/>
      <c r="H41" s="127">
        <v>3750</v>
      </c>
      <c r="I41" s="131"/>
      <c r="J41" s="133"/>
      <c r="K41" s="128">
        <v>6.89</v>
      </c>
      <c r="L41" s="129" t="s">
        <v>357</v>
      </c>
      <c r="M41" s="130">
        <f t="shared" si="0"/>
        <v>0</v>
      </c>
    </row>
    <row r="42" spans="1:13" s="2" customFormat="1" ht="20.100000000000001" customHeight="1">
      <c r="A42" s="127">
        <v>2250</v>
      </c>
      <c r="B42" s="131"/>
      <c r="C42" s="133"/>
      <c r="D42" s="132">
        <v>5.79</v>
      </c>
      <c r="E42" s="129" t="s">
        <v>357</v>
      </c>
      <c r="F42" s="130">
        <f t="shared" si="1"/>
        <v>0</v>
      </c>
      <c r="G42" s="126"/>
      <c r="H42" s="127">
        <v>3800</v>
      </c>
      <c r="I42" s="131"/>
      <c r="J42" s="133"/>
      <c r="K42" s="128">
        <v>6.91</v>
      </c>
      <c r="L42" s="129" t="s">
        <v>357</v>
      </c>
      <c r="M42" s="130">
        <f t="shared" si="0"/>
        <v>0</v>
      </c>
    </row>
    <row r="43" spans="1:13" s="2" customFormat="1" ht="20.100000000000001" customHeight="1">
      <c r="A43" s="127">
        <v>2300</v>
      </c>
      <c r="B43" s="131"/>
      <c r="C43" s="133"/>
      <c r="D43" s="132">
        <v>5.81</v>
      </c>
      <c r="E43" s="129" t="s">
        <v>357</v>
      </c>
      <c r="F43" s="130">
        <f t="shared" si="1"/>
        <v>0</v>
      </c>
      <c r="G43" s="134"/>
      <c r="H43" s="127">
        <v>3850</v>
      </c>
      <c r="I43" s="131"/>
      <c r="J43" s="133"/>
      <c r="K43" s="128">
        <v>6.96</v>
      </c>
      <c r="L43" s="129" t="s">
        <v>357</v>
      </c>
      <c r="M43" s="130">
        <f t="shared" si="0"/>
        <v>0</v>
      </c>
    </row>
    <row r="44" spans="1:13" s="2" customFormat="1" ht="20.100000000000001" customHeight="1">
      <c r="A44" s="127">
        <v>2350</v>
      </c>
      <c r="B44" s="131"/>
      <c r="C44" s="131"/>
      <c r="D44" s="132">
        <v>5.86</v>
      </c>
      <c r="E44" s="129" t="s">
        <v>357</v>
      </c>
      <c r="F44" s="130">
        <f t="shared" si="1"/>
        <v>0</v>
      </c>
      <c r="G44" s="134"/>
      <c r="H44" s="127">
        <v>3900</v>
      </c>
      <c r="I44" s="131"/>
      <c r="J44" s="131"/>
      <c r="K44" s="128">
        <v>6.98</v>
      </c>
      <c r="L44" s="129" t="s">
        <v>357</v>
      </c>
      <c r="M44" s="130">
        <f t="shared" si="0"/>
        <v>0</v>
      </c>
    </row>
    <row r="45" spans="1:13" s="2" customFormat="1" ht="20.100000000000001" customHeight="1">
      <c r="A45" s="127">
        <v>2400</v>
      </c>
      <c r="B45" s="131"/>
      <c r="C45" s="131"/>
      <c r="D45" s="132">
        <v>5.89</v>
      </c>
      <c r="E45" s="129" t="s">
        <v>357</v>
      </c>
      <c r="F45" s="130">
        <f t="shared" si="1"/>
        <v>0</v>
      </c>
      <c r="G45" s="134"/>
      <c r="H45" s="127">
        <v>3950</v>
      </c>
      <c r="I45" s="131"/>
      <c r="J45" s="131"/>
      <c r="K45" s="128">
        <v>7.03</v>
      </c>
      <c r="L45" s="129" t="s">
        <v>357</v>
      </c>
      <c r="M45" s="130">
        <f t="shared" si="0"/>
        <v>0</v>
      </c>
    </row>
    <row r="46" spans="1:13" s="2" customFormat="1" ht="20.100000000000001" customHeight="1">
      <c r="A46" s="135">
        <v>2450</v>
      </c>
      <c r="B46" s="131"/>
      <c r="C46" s="131"/>
      <c r="D46" s="132">
        <v>5.94</v>
      </c>
      <c r="E46" s="136" t="s">
        <v>357</v>
      </c>
      <c r="F46" s="130">
        <f t="shared" si="1"/>
        <v>0</v>
      </c>
      <c r="G46" s="134"/>
      <c r="H46" s="127">
        <v>4000</v>
      </c>
      <c r="I46" s="131"/>
      <c r="J46" s="131"/>
      <c r="K46" s="128">
        <v>7.06</v>
      </c>
      <c r="L46" s="136" t="s">
        <v>357</v>
      </c>
      <c r="M46" s="130">
        <f t="shared" si="0"/>
        <v>0</v>
      </c>
    </row>
    <row r="47" spans="1:13" s="2" customFormat="1" ht="15.6" thickBot="1">
      <c r="A47" s="134"/>
      <c r="B47" s="134"/>
      <c r="C47" s="134"/>
      <c r="D47" s="134"/>
      <c r="E47" s="134"/>
      <c r="F47" s="137"/>
      <c r="G47" s="134"/>
      <c r="H47" s="6" t="s">
        <v>358</v>
      </c>
      <c r="I47" s="5"/>
      <c r="J47" s="5"/>
      <c r="K47" s="5"/>
      <c r="L47" s="4"/>
      <c r="M47" s="3">
        <f>SUM(M16:M46)+SUM(F16:F46)</f>
        <v>0</v>
      </c>
    </row>
    <row r="48" spans="1:13" s="2" customFormat="1" ht="20.100000000000001" customHeight="1" thickTop="1"/>
    <row r="49" spans="8:13" s="2" customFormat="1"/>
    <row r="50" spans="8:13" s="2" customFormat="1">
      <c r="H50" s="337"/>
      <c r="I50" s="337"/>
      <c r="J50" s="337"/>
      <c r="K50" s="337"/>
      <c r="L50" s="337"/>
      <c r="M50" s="337"/>
    </row>
    <row r="51" spans="8:13" s="2" customFormat="1"/>
  </sheetData>
  <mergeCells count="24">
    <mergeCell ref="E13:F13"/>
    <mergeCell ref="G13:J13"/>
    <mergeCell ref="L13:M13"/>
    <mergeCell ref="D9:I9"/>
    <mergeCell ref="A11:C11"/>
    <mergeCell ref="D11:I11"/>
    <mergeCell ref="A12:I12"/>
    <mergeCell ref="L12:M12"/>
    <mergeCell ref="A10:C10"/>
    <mergeCell ref="D10:I10"/>
    <mergeCell ref="A1:M1"/>
    <mergeCell ref="A2:M3"/>
    <mergeCell ref="A4:C4"/>
    <mergeCell ref="D4:I4"/>
    <mergeCell ref="J4:M11"/>
    <mergeCell ref="A5:C5"/>
    <mergeCell ref="D5:I5"/>
    <mergeCell ref="A6:C6"/>
    <mergeCell ref="D6:I6"/>
    <mergeCell ref="A7:C7"/>
    <mergeCell ref="D7:I7"/>
    <mergeCell ref="A8:C8"/>
    <mergeCell ref="D8:I8"/>
    <mergeCell ref="A9:C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1F572-44C5-46E2-AF3B-99F28B439186}">
  <dimension ref="A1:L87"/>
  <sheetViews>
    <sheetView topLeftCell="A5" workbookViewId="0">
      <selection activeCell="H89" sqref="H89"/>
    </sheetView>
  </sheetViews>
  <sheetFormatPr defaultColWidth="9.33203125" defaultRowHeight="13.8"/>
  <cols>
    <col min="1" max="3" width="20.77734375" style="18" customWidth="1"/>
    <col min="4" max="4" width="34.44140625" style="18" bestFit="1" customWidth="1"/>
    <col min="5" max="5" width="20.77734375" style="18" customWidth="1"/>
    <col min="6" max="6" width="9.33203125" style="18"/>
    <col min="7" max="7" width="26.109375" style="18" customWidth="1"/>
    <col min="8" max="8" width="21" style="18" customWidth="1"/>
    <col min="9" max="9" width="14" style="18" customWidth="1"/>
    <col min="10" max="16384" width="9.33203125" style="18"/>
  </cols>
  <sheetData>
    <row r="1" spans="1:5" ht="21">
      <c r="A1" s="804" t="s">
        <v>342</v>
      </c>
      <c r="B1" s="804"/>
      <c r="C1" s="804"/>
      <c r="D1" s="804"/>
      <c r="E1" s="804"/>
    </row>
    <row r="2" spans="1:5" ht="21.6" thickBot="1">
      <c r="A2" s="804" t="s">
        <v>359</v>
      </c>
      <c r="B2" s="804"/>
      <c r="C2" s="804"/>
      <c r="D2" s="804"/>
      <c r="E2" s="804"/>
    </row>
    <row r="3" spans="1:5" ht="15.6">
      <c r="A3" s="805" t="s">
        <v>265</v>
      </c>
      <c r="B3" s="806"/>
      <c r="C3" s="532">
        <f>'[1]Data Sheet'!B5</f>
        <v>0</v>
      </c>
      <c r="D3" s="533"/>
      <c r="E3" s="534"/>
    </row>
    <row r="4" spans="1:5" ht="15.6">
      <c r="A4" s="807" t="s">
        <v>104</v>
      </c>
      <c r="B4" s="808"/>
      <c r="C4" s="535">
        <f>'[1]Data Sheet'!B6</f>
        <v>0</v>
      </c>
      <c r="D4" s="536"/>
      <c r="E4" s="537"/>
    </row>
    <row r="5" spans="1:5" ht="15.6">
      <c r="A5" s="807" t="s">
        <v>105</v>
      </c>
      <c r="B5" s="808"/>
      <c r="C5" s="535">
        <f>'[1]Data Sheet'!B7</f>
        <v>0</v>
      </c>
      <c r="D5" s="536"/>
      <c r="E5" s="537"/>
    </row>
    <row r="6" spans="1:5" ht="16.2" thickBot="1">
      <c r="A6" s="809" t="s">
        <v>106</v>
      </c>
      <c r="B6" s="810"/>
      <c r="C6" s="541">
        <f>'[1]Data Sheet'!B9</f>
        <v>0</v>
      </c>
      <c r="D6" s="542"/>
      <c r="E6" s="811"/>
    </row>
    <row r="7" spans="1:5" ht="16.2" thickBot="1">
      <c r="A7" s="162" t="s">
        <v>266</v>
      </c>
      <c r="B7" s="138"/>
      <c r="C7" s="139"/>
      <c r="D7" s="163" t="s">
        <v>111</v>
      </c>
      <c r="E7" s="140"/>
    </row>
    <row r="8" spans="1:5" ht="15.6">
      <c r="A8" s="141" t="s">
        <v>360</v>
      </c>
      <c r="B8" s="142" t="s">
        <v>361</v>
      </c>
      <c r="C8" s="142" t="s">
        <v>362</v>
      </c>
      <c r="D8" s="142" t="s">
        <v>363</v>
      </c>
      <c r="E8" s="143" t="s">
        <v>364</v>
      </c>
    </row>
    <row r="9" spans="1:5" ht="15.6">
      <c r="A9" s="144"/>
      <c r="B9" s="145"/>
      <c r="C9" s="146"/>
      <c r="D9" s="147"/>
      <c r="E9" s="148">
        <v>0</v>
      </c>
    </row>
    <row r="10" spans="1:5" ht="15.6">
      <c r="A10" s="144"/>
      <c r="B10" s="145"/>
      <c r="C10" s="146"/>
      <c r="D10" s="147"/>
      <c r="E10" s="148">
        <v>0</v>
      </c>
    </row>
    <row r="11" spans="1:5" ht="15.6">
      <c r="A11" s="144"/>
      <c r="B11" s="145"/>
      <c r="C11" s="146"/>
      <c r="D11" s="147"/>
      <c r="E11" s="148">
        <v>0</v>
      </c>
    </row>
    <row r="12" spans="1:5" ht="15.6">
      <c r="A12" s="144"/>
      <c r="B12" s="145"/>
      <c r="C12" s="146"/>
      <c r="D12" s="147"/>
      <c r="E12" s="148">
        <v>0</v>
      </c>
    </row>
    <row r="13" spans="1:5" ht="15.6">
      <c r="A13" s="144"/>
      <c r="B13" s="145"/>
      <c r="C13" s="146"/>
      <c r="D13" s="147"/>
      <c r="E13" s="148">
        <v>0</v>
      </c>
    </row>
    <row r="14" spans="1:5" ht="15.6">
      <c r="A14" s="144"/>
      <c r="B14" s="145"/>
      <c r="C14" s="146"/>
      <c r="D14" s="147"/>
      <c r="E14" s="148">
        <v>0</v>
      </c>
    </row>
    <row r="15" spans="1:5" ht="15.6">
      <c r="A15" s="144"/>
      <c r="B15" s="145"/>
      <c r="C15" s="146"/>
      <c r="D15" s="147"/>
      <c r="E15" s="148">
        <v>0</v>
      </c>
    </row>
    <row r="16" spans="1:5" ht="15.6">
      <c r="A16" s="144"/>
      <c r="B16" s="145"/>
      <c r="C16" s="146"/>
      <c r="D16" s="147"/>
      <c r="E16" s="148">
        <v>0</v>
      </c>
    </row>
    <row r="17" spans="1:11" ht="15.6">
      <c r="A17" s="144"/>
      <c r="B17" s="145"/>
      <c r="C17" s="146"/>
      <c r="D17" s="147"/>
      <c r="E17" s="148">
        <v>0</v>
      </c>
    </row>
    <row r="18" spans="1:11" ht="15.6">
      <c r="A18" s="144"/>
      <c r="B18" s="145"/>
      <c r="C18" s="146"/>
      <c r="D18" s="147"/>
      <c r="E18" s="148">
        <v>0</v>
      </c>
    </row>
    <row r="19" spans="1:11" ht="15.6">
      <c r="A19" s="144"/>
      <c r="B19" s="145"/>
      <c r="C19" s="146"/>
      <c r="D19" s="147"/>
      <c r="E19" s="148">
        <v>0</v>
      </c>
    </row>
    <row r="20" spans="1:11" ht="15.6">
      <c r="A20" s="144"/>
      <c r="B20" s="145"/>
      <c r="C20" s="146"/>
      <c r="D20" s="147"/>
      <c r="E20" s="148">
        <v>0</v>
      </c>
    </row>
    <row r="21" spans="1:11" ht="15.6">
      <c r="A21" s="144"/>
      <c r="B21" s="145"/>
      <c r="C21" s="146"/>
      <c r="D21" s="147"/>
      <c r="E21" s="148">
        <v>0</v>
      </c>
    </row>
    <row r="22" spans="1:11" ht="15.6">
      <c r="A22" s="144"/>
      <c r="B22" s="145"/>
      <c r="C22" s="146"/>
      <c r="D22" s="147"/>
      <c r="E22" s="148">
        <v>0</v>
      </c>
    </row>
    <row r="23" spans="1:11" ht="15.6">
      <c r="A23" s="144"/>
      <c r="B23" s="145"/>
      <c r="C23" s="146"/>
      <c r="D23" s="147"/>
      <c r="E23" s="148">
        <v>0</v>
      </c>
    </row>
    <row r="24" spans="1:11" ht="15.6">
      <c r="A24" s="144"/>
      <c r="B24" s="145"/>
      <c r="C24" s="146"/>
      <c r="D24" s="147"/>
      <c r="E24" s="148">
        <v>0</v>
      </c>
    </row>
    <row r="25" spans="1:11" ht="15.6">
      <c r="A25" s="144"/>
      <c r="B25" s="145"/>
      <c r="C25" s="146"/>
      <c r="D25" s="147"/>
      <c r="E25" s="148">
        <v>0</v>
      </c>
    </row>
    <row r="26" spans="1:11" ht="15.6">
      <c r="A26" s="144"/>
      <c r="B26" s="145"/>
      <c r="C26" s="146"/>
      <c r="D26" s="147"/>
      <c r="E26" s="148">
        <v>0</v>
      </c>
      <c r="G26" s="18" t="s">
        <v>566</v>
      </c>
      <c r="H26" s="18" t="s">
        <v>524</v>
      </c>
      <c r="I26" s="18" t="s">
        <v>525</v>
      </c>
    </row>
    <row r="27" spans="1:11" ht="15.6">
      <c r="A27" s="144"/>
      <c r="B27" s="145"/>
      <c r="C27" s="146"/>
      <c r="D27" s="147"/>
      <c r="E27" s="148">
        <v>0</v>
      </c>
      <c r="G27" s="353" t="s">
        <v>564</v>
      </c>
      <c r="H27" s="354" t="s">
        <v>572</v>
      </c>
      <c r="I27" s="355" t="s">
        <v>565</v>
      </c>
    </row>
    <row r="28" spans="1:11" ht="15.6">
      <c r="A28" s="144"/>
      <c r="B28" s="145"/>
      <c r="C28" s="146"/>
      <c r="D28" s="147"/>
      <c r="E28" s="148">
        <v>0</v>
      </c>
      <c r="G28" s="358" t="s">
        <v>567</v>
      </c>
      <c r="H28" s="358" t="s">
        <v>574</v>
      </c>
      <c r="I28" s="358" t="s">
        <v>573</v>
      </c>
    </row>
    <row r="29" spans="1:11" ht="16.2" thickBot="1">
      <c r="A29" s="144"/>
      <c r="B29" s="145"/>
      <c r="C29" s="146">
        <v>1</v>
      </c>
      <c r="D29" s="147"/>
      <c r="E29" s="148"/>
      <c r="F29" s="114" t="s">
        <v>365</v>
      </c>
      <c r="G29" s="114"/>
      <c r="H29" s="114"/>
      <c r="I29" s="114"/>
      <c r="J29" s="114"/>
      <c r="K29" s="114"/>
    </row>
    <row r="30" spans="1:11" ht="16.2" hidden="1" thickBot="1">
      <c r="A30" s="149"/>
      <c r="B30" s="150"/>
      <c r="C30" s="146">
        <v>1</v>
      </c>
      <c r="D30" s="151"/>
      <c r="E30" s="152"/>
    </row>
    <row r="31" spans="1:11" ht="16.2" hidden="1" thickBot="1">
      <c r="A31" s="149"/>
      <c r="B31" s="150"/>
      <c r="C31" s="146">
        <v>1</v>
      </c>
      <c r="D31" s="151"/>
      <c r="E31" s="152"/>
    </row>
    <row r="32" spans="1:11" ht="16.2" hidden="1" thickBot="1">
      <c r="A32" s="149"/>
      <c r="B32" s="150"/>
      <c r="C32" s="146">
        <v>1</v>
      </c>
      <c r="D32" s="151"/>
      <c r="E32" s="152"/>
    </row>
    <row r="33" spans="1:5" ht="16.2" hidden="1" thickBot="1">
      <c r="A33" s="149"/>
      <c r="B33" s="150"/>
      <c r="C33" s="146">
        <v>1</v>
      </c>
      <c r="D33" s="151"/>
      <c r="E33" s="152"/>
    </row>
    <row r="34" spans="1:5" ht="16.2" hidden="1" thickBot="1">
      <c r="A34" s="149"/>
      <c r="B34" s="150"/>
      <c r="C34" s="146">
        <v>1</v>
      </c>
      <c r="D34" s="151"/>
      <c r="E34" s="152"/>
    </row>
    <row r="35" spans="1:5" ht="16.2" hidden="1" thickBot="1">
      <c r="A35" s="149"/>
      <c r="B35" s="150"/>
      <c r="C35" s="146">
        <v>1</v>
      </c>
      <c r="D35" s="151"/>
      <c r="E35" s="152"/>
    </row>
    <row r="36" spans="1:5" ht="16.2" hidden="1" thickBot="1">
      <c r="A36" s="149"/>
      <c r="B36" s="150"/>
      <c r="C36" s="146">
        <v>1</v>
      </c>
      <c r="D36" s="151"/>
      <c r="E36" s="152"/>
    </row>
    <row r="37" spans="1:5" ht="16.2" hidden="1" thickBot="1">
      <c r="A37" s="149"/>
      <c r="B37" s="150"/>
      <c r="C37" s="146">
        <v>1</v>
      </c>
      <c r="D37" s="151"/>
      <c r="E37" s="152"/>
    </row>
    <row r="38" spans="1:5" ht="16.2" hidden="1" thickBot="1">
      <c r="A38" s="149"/>
      <c r="B38" s="150"/>
      <c r="C38" s="146">
        <v>1</v>
      </c>
      <c r="D38" s="151"/>
      <c r="E38" s="152"/>
    </row>
    <row r="39" spans="1:5" ht="16.2" hidden="1" thickBot="1">
      <c r="A39" s="149"/>
      <c r="B39" s="150"/>
      <c r="C39" s="146">
        <v>1</v>
      </c>
      <c r="D39" s="151"/>
      <c r="E39" s="152"/>
    </row>
    <row r="40" spans="1:5" ht="16.2" hidden="1" thickBot="1">
      <c r="A40" s="149"/>
      <c r="B40" s="150"/>
      <c r="C40" s="146">
        <v>1</v>
      </c>
      <c r="D40" s="151"/>
      <c r="E40" s="152"/>
    </row>
    <row r="41" spans="1:5" ht="16.2" hidden="1" thickBot="1">
      <c r="A41" s="149"/>
      <c r="B41" s="150"/>
      <c r="C41" s="146">
        <v>1</v>
      </c>
      <c r="D41" s="151"/>
      <c r="E41" s="152"/>
    </row>
    <row r="42" spans="1:5" ht="16.2" hidden="1" thickBot="1">
      <c r="A42" s="149"/>
      <c r="B42" s="150"/>
      <c r="C42" s="146">
        <v>1</v>
      </c>
      <c r="D42" s="151"/>
      <c r="E42" s="152"/>
    </row>
    <row r="43" spans="1:5" ht="16.2" hidden="1" thickBot="1">
      <c r="A43" s="149"/>
      <c r="B43" s="150"/>
      <c r="C43" s="146">
        <v>1</v>
      </c>
      <c r="D43" s="151"/>
      <c r="E43" s="152"/>
    </row>
    <row r="44" spans="1:5" ht="16.2" hidden="1" thickBot="1">
      <c r="A44" s="149"/>
      <c r="B44" s="150"/>
      <c r="C44" s="146">
        <v>1</v>
      </c>
      <c r="D44" s="151"/>
      <c r="E44" s="152"/>
    </row>
    <row r="45" spans="1:5" ht="16.2" hidden="1" thickBot="1">
      <c r="A45" s="149"/>
      <c r="B45" s="150"/>
      <c r="C45" s="146">
        <v>1</v>
      </c>
      <c r="D45" s="151"/>
      <c r="E45" s="152"/>
    </row>
    <row r="46" spans="1:5" ht="16.2" hidden="1" thickBot="1">
      <c r="A46" s="149"/>
      <c r="B46" s="150"/>
      <c r="C46" s="146">
        <v>1</v>
      </c>
      <c r="D46" s="151"/>
      <c r="E46" s="152"/>
    </row>
    <row r="47" spans="1:5" ht="16.2" hidden="1" thickBot="1">
      <c r="A47" s="149"/>
      <c r="B47" s="150"/>
      <c r="C47" s="146">
        <v>1</v>
      </c>
      <c r="D47" s="151"/>
      <c r="E47" s="152"/>
    </row>
    <row r="48" spans="1:5" ht="16.2" hidden="1" thickBot="1">
      <c r="A48" s="149"/>
      <c r="B48" s="150"/>
      <c r="C48" s="146">
        <v>1</v>
      </c>
      <c r="D48" s="151"/>
      <c r="E48" s="152"/>
    </row>
    <row r="49" spans="1:5" ht="16.2" hidden="1" thickBot="1">
      <c r="A49" s="149"/>
      <c r="B49" s="150"/>
      <c r="C49" s="146">
        <v>1</v>
      </c>
      <c r="D49" s="151"/>
      <c r="E49" s="152"/>
    </row>
    <row r="50" spans="1:5" ht="16.2" hidden="1" thickBot="1">
      <c r="A50" s="149"/>
      <c r="B50" s="150"/>
      <c r="C50" s="146">
        <v>1</v>
      </c>
      <c r="D50" s="151"/>
      <c r="E50" s="152"/>
    </row>
    <row r="51" spans="1:5" ht="16.2" hidden="1" thickBot="1">
      <c r="A51" s="149"/>
      <c r="B51" s="150"/>
      <c r="C51" s="146">
        <v>1</v>
      </c>
      <c r="D51" s="151"/>
      <c r="E51" s="152"/>
    </row>
    <row r="52" spans="1:5" ht="16.2" hidden="1" thickBot="1">
      <c r="A52" s="149"/>
      <c r="B52" s="150"/>
      <c r="C52" s="146">
        <v>1</v>
      </c>
      <c r="D52" s="151"/>
      <c r="E52" s="152"/>
    </row>
    <row r="53" spans="1:5" ht="16.2" hidden="1" thickBot="1">
      <c r="A53" s="149"/>
      <c r="B53" s="150"/>
      <c r="C53" s="146">
        <v>1</v>
      </c>
      <c r="D53" s="151"/>
      <c r="E53" s="152"/>
    </row>
    <row r="54" spans="1:5" ht="16.2" hidden="1" thickBot="1">
      <c r="A54" s="149"/>
      <c r="B54" s="150"/>
      <c r="C54" s="146">
        <v>1</v>
      </c>
      <c r="D54" s="151"/>
      <c r="E54" s="152"/>
    </row>
    <row r="55" spans="1:5" ht="16.2" hidden="1" thickBot="1">
      <c r="A55" s="149"/>
      <c r="B55" s="150"/>
      <c r="C55" s="146">
        <v>1</v>
      </c>
      <c r="D55" s="151"/>
      <c r="E55" s="152"/>
    </row>
    <row r="56" spans="1:5" ht="16.2" hidden="1" thickBot="1">
      <c r="A56" s="149"/>
      <c r="B56" s="150"/>
      <c r="C56" s="146">
        <v>1</v>
      </c>
      <c r="D56" s="151"/>
      <c r="E56" s="152"/>
    </row>
    <row r="57" spans="1:5" ht="16.2" hidden="1" thickBot="1">
      <c r="A57" s="149"/>
      <c r="B57" s="150"/>
      <c r="C57" s="146">
        <v>1</v>
      </c>
      <c r="D57" s="151"/>
      <c r="E57" s="152"/>
    </row>
    <row r="58" spans="1:5" ht="16.2" hidden="1" thickBot="1">
      <c r="A58" s="149"/>
      <c r="B58" s="150"/>
      <c r="C58" s="146">
        <v>1</v>
      </c>
      <c r="D58" s="151"/>
      <c r="E58" s="152"/>
    </row>
    <row r="59" spans="1:5" ht="16.2" hidden="1" thickBot="1">
      <c r="A59" s="149"/>
      <c r="B59" s="150"/>
      <c r="C59" s="146">
        <v>1</v>
      </c>
      <c r="D59" s="151"/>
      <c r="E59" s="152"/>
    </row>
    <row r="60" spans="1:5" ht="16.2" hidden="1" thickBot="1">
      <c r="A60" s="149"/>
      <c r="B60" s="150"/>
      <c r="C60" s="146">
        <v>1</v>
      </c>
      <c r="D60" s="151"/>
      <c r="E60" s="152"/>
    </row>
    <row r="61" spans="1:5" ht="16.2" hidden="1" thickBot="1">
      <c r="A61" s="149"/>
      <c r="B61" s="150"/>
      <c r="C61" s="146">
        <v>1</v>
      </c>
      <c r="D61" s="151"/>
      <c r="E61" s="152"/>
    </row>
    <row r="62" spans="1:5" ht="16.2" hidden="1" thickBot="1">
      <c r="A62" s="149"/>
      <c r="B62" s="150"/>
      <c r="C62" s="146">
        <v>1</v>
      </c>
      <c r="D62" s="151"/>
      <c r="E62" s="152"/>
    </row>
    <row r="63" spans="1:5" ht="16.2" hidden="1" thickBot="1">
      <c r="A63" s="149"/>
      <c r="B63" s="150"/>
      <c r="C63" s="146">
        <v>1</v>
      </c>
      <c r="D63" s="151"/>
      <c r="E63" s="152"/>
    </row>
    <row r="64" spans="1:5" ht="16.2" hidden="1" thickBot="1">
      <c r="A64" s="149"/>
      <c r="B64" s="150"/>
      <c r="C64" s="146">
        <v>1</v>
      </c>
      <c r="D64" s="151"/>
      <c r="E64" s="152"/>
    </row>
    <row r="65" spans="1:12" ht="16.2" hidden="1" thickBot="1">
      <c r="A65" s="149"/>
      <c r="B65" s="150"/>
      <c r="C65" s="146">
        <v>1</v>
      </c>
      <c r="D65" s="151"/>
      <c r="E65" s="152"/>
    </row>
    <row r="66" spans="1:12" ht="16.2" hidden="1" thickBot="1">
      <c r="A66" s="149"/>
      <c r="B66" s="150"/>
      <c r="C66" s="146">
        <v>1</v>
      </c>
      <c r="D66" s="151"/>
      <c r="E66" s="152"/>
    </row>
    <row r="67" spans="1:12" ht="16.2" hidden="1" thickBot="1">
      <c r="A67" s="149"/>
      <c r="B67" s="150"/>
      <c r="C67" s="146">
        <v>1</v>
      </c>
      <c r="D67" s="151"/>
      <c r="E67" s="152"/>
    </row>
    <row r="68" spans="1:12" ht="16.2" hidden="1" thickBot="1">
      <c r="A68" s="149"/>
      <c r="B68" s="150"/>
      <c r="C68" s="146">
        <v>1</v>
      </c>
      <c r="D68" s="151"/>
      <c r="E68" s="152"/>
    </row>
    <row r="69" spans="1:12" ht="16.2" hidden="1" thickBot="1">
      <c r="A69" s="149"/>
      <c r="B69" s="150"/>
      <c r="C69" s="146">
        <v>1</v>
      </c>
      <c r="D69" s="151"/>
      <c r="E69" s="152"/>
    </row>
    <row r="70" spans="1:12" ht="16.2" hidden="1" thickBot="1">
      <c r="A70" s="149"/>
      <c r="B70" s="150"/>
      <c r="C70" s="146">
        <v>1</v>
      </c>
      <c r="D70" s="151"/>
      <c r="E70" s="152"/>
    </row>
    <row r="71" spans="1:12" ht="16.2" hidden="1" thickBot="1">
      <c r="A71" s="149"/>
      <c r="B71" s="150"/>
      <c r="C71" s="146">
        <v>1</v>
      </c>
      <c r="D71" s="151"/>
      <c r="E71" s="152"/>
    </row>
    <row r="72" spans="1:12" ht="16.2" hidden="1" thickBot="1">
      <c r="A72" s="149"/>
      <c r="B72" s="150"/>
      <c r="C72" s="146">
        <v>1</v>
      </c>
      <c r="D72" s="151"/>
      <c r="E72" s="152"/>
    </row>
    <row r="73" spans="1:12" ht="16.2" hidden="1" thickBot="1">
      <c r="A73" s="149"/>
      <c r="B73" s="150"/>
      <c r="C73" s="146">
        <v>1</v>
      </c>
      <c r="D73" s="151"/>
      <c r="E73" s="152"/>
    </row>
    <row r="74" spans="1:12" ht="16.2" hidden="1" thickBot="1">
      <c r="A74" s="149"/>
      <c r="B74" s="150"/>
      <c r="C74" s="146">
        <v>1</v>
      </c>
      <c r="D74" s="151"/>
      <c r="E74" s="152"/>
    </row>
    <row r="75" spans="1:12" ht="16.2" hidden="1" thickBot="1">
      <c r="A75" s="149"/>
      <c r="B75" s="150"/>
      <c r="C75" s="146">
        <v>1</v>
      </c>
      <c r="D75" s="151"/>
      <c r="E75" s="152"/>
    </row>
    <row r="76" spans="1:12" ht="16.2" hidden="1" thickBot="1">
      <c r="A76" s="149"/>
      <c r="B76" s="150"/>
      <c r="C76" s="146">
        <v>1</v>
      </c>
      <c r="D76" s="151"/>
      <c r="E76" s="152"/>
    </row>
    <row r="77" spans="1:12" ht="16.2" hidden="1" thickBot="1">
      <c r="A77" s="149"/>
      <c r="B77" s="150"/>
      <c r="C77" s="146">
        <v>1</v>
      </c>
      <c r="D77" s="151"/>
      <c r="E77" s="152"/>
    </row>
    <row r="78" spans="1:12" ht="16.2" hidden="1" thickBot="1">
      <c r="A78" s="149"/>
      <c r="B78" s="150"/>
      <c r="C78" s="146">
        <v>1</v>
      </c>
      <c r="D78" s="151"/>
      <c r="E78" s="152"/>
    </row>
    <row r="79" spans="1:12" ht="16.2" hidden="1" thickBot="1">
      <c r="A79" s="153"/>
      <c r="B79" s="154"/>
      <c r="C79" s="146">
        <v>1</v>
      </c>
      <c r="D79" s="155"/>
      <c r="E79" s="156"/>
    </row>
    <row r="80" spans="1:12" ht="16.8" thickTop="1" thickBot="1">
      <c r="A80" s="157"/>
      <c r="B80" s="158"/>
      <c r="C80" s="158"/>
      <c r="D80" s="158"/>
      <c r="E80" s="159">
        <f>SUM(E9:E79)</f>
        <v>0</v>
      </c>
      <c r="F80" s="114" t="s">
        <v>366</v>
      </c>
      <c r="G80" s="114"/>
      <c r="H80" s="114"/>
      <c r="I80" s="114"/>
      <c r="J80" s="114"/>
      <c r="K80" s="114"/>
      <c r="L80" s="114"/>
    </row>
    <row r="81" spans="1:5">
      <c r="A81" s="38"/>
      <c r="B81" s="38"/>
      <c r="C81" s="38"/>
      <c r="D81" s="38"/>
    </row>
    <row r="82" spans="1:5">
      <c r="A82" s="39" t="s">
        <v>367</v>
      </c>
      <c r="B82" s="40"/>
      <c r="C82" s="38"/>
      <c r="D82" s="38"/>
    </row>
    <row r="83" spans="1:5">
      <c r="A83" s="41" t="s">
        <v>368</v>
      </c>
      <c r="B83" s="42">
        <v>400</v>
      </c>
      <c r="C83" s="38"/>
      <c r="D83" s="38"/>
    </row>
    <row r="84" spans="1:5">
      <c r="A84" s="41" t="s">
        <v>369</v>
      </c>
      <c r="B84" s="42">
        <v>800</v>
      </c>
      <c r="C84" s="38"/>
      <c r="D84" s="38"/>
    </row>
    <row r="85" spans="1:5">
      <c r="A85" s="43" t="s">
        <v>370</v>
      </c>
      <c r="B85" s="44">
        <v>1600</v>
      </c>
      <c r="C85" s="38"/>
      <c r="D85" s="38"/>
    </row>
    <row r="87" spans="1:5" ht="37.5" customHeight="1">
      <c r="A87" s="812" t="s">
        <v>371</v>
      </c>
      <c r="B87" s="812"/>
      <c r="C87" s="812"/>
      <c r="D87" s="812"/>
      <c r="E87" s="812"/>
    </row>
  </sheetData>
  <mergeCells count="11">
    <mergeCell ref="A5:B5"/>
    <mergeCell ref="C5:E5"/>
    <mergeCell ref="A6:B6"/>
    <mergeCell ref="C6:E6"/>
    <mergeCell ref="A87:E87"/>
    <mergeCell ref="A1:E1"/>
    <mergeCell ref="A2:E2"/>
    <mergeCell ref="A3:B3"/>
    <mergeCell ref="C3:E3"/>
    <mergeCell ref="A4:B4"/>
    <mergeCell ref="C4:E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09D0F-67B5-4F30-B2B9-B3F3F9B67230}">
  <sheetPr>
    <pageSetUpPr fitToPage="1"/>
  </sheetPr>
  <dimension ref="A1:X282"/>
  <sheetViews>
    <sheetView showGridLines="0" zoomScale="85" zoomScaleNormal="85" zoomScaleSheetLayoutView="80" workbookViewId="0">
      <selection activeCell="F19" sqref="F19"/>
    </sheetView>
  </sheetViews>
  <sheetFormatPr defaultColWidth="9.33203125" defaultRowHeight="13.2"/>
  <cols>
    <col min="1" max="1" width="43.6640625" style="165" customWidth="1"/>
    <col min="2" max="2" width="17.77734375" style="165" customWidth="1"/>
    <col min="3" max="3" width="15.6640625" style="165" customWidth="1"/>
    <col min="4" max="4" width="13" style="165" customWidth="1"/>
    <col min="5" max="5" width="14.33203125" style="165" customWidth="1"/>
    <col min="6" max="6" width="11.33203125" style="165" customWidth="1"/>
    <col min="7" max="7" width="2.77734375" style="165" customWidth="1"/>
    <col min="8" max="8" width="13.44140625" style="165" customWidth="1"/>
    <col min="9" max="9" width="45.77734375" style="165" customWidth="1"/>
    <col min="10" max="10" width="13.77734375" style="165" bestFit="1" customWidth="1"/>
    <col min="11" max="11" width="15.6640625" style="165" bestFit="1" customWidth="1"/>
    <col min="12" max="12" width="16.77734375" style="165" bestFit="1" customWidth="1"/>
    <col min="13" max="13" width="16.44140625" style="165" customWidth="1"/>
    <col min="14" max="14" width="15.33203125" style="165" customWidth="1"/>
    <col min="15" max="15" width="12.33203125" style="165" bestFit="1" customWidth="1"/>
    <col min="16" max="16" width="13.6640625" style="165" customWidth="1"/>
    <col min="17" max="17" width="10.33203125" style="165" bestFit="1" customWidth="1"/>
    <col min="18" max="16384" width="9.33203125" style="165"/>
  </cols>
  <sheetData>
    <row r="1" spans="1:24" ht="15.6">
      <c r="A1" s="164" t="s">
        <v>522</v>
      </c>
    </row>
    <row r="2" spans="1:24">
      <c r="O2" s="816" t="s">
        <v>372</v>
      </c>
      <c r="P2" s="816"/>
    </row>
    <row r="3" spans="1:24">
      <c r="A3" s="166" t="s">
        <v>373</v>
      </c>
      <c r="B3" s="167"/>
      <c r="P3" s="168">
        <v>1.0077</v>
      </c>
    </row>
    <row r="4" spans="1:24">
      <c r="B4" s="169" t="s">
        <v>374</v>
      </c>
      <c r="C4" s="170"/>
      <c r="D4" s="169"/>
      <c r="E4" s="169"/>
    </row>
    <row r="5" spans="1:24" s="174" customFormat="1">
      <c r="A5" s="171" t="s">
        <v>375</v>
      </c>
      <c r="B5" s="172" t="s">
        <v>376</v>
      </c>
      <c r="C5" s="172" t="s">
        <v>377</v>
      </c>
      <c r="D5" s="172" t="s">
        <v>378</v>
      </c>
      <c r="E5" s="173" t="s">
        <v>379</v>
      </c>
      <c r="F5" s="171" t="s">
        <v>380</v>
      </c>
      <c r="P5" s="175">
        <v>3.7999999999999999E-2</v>
      </c>
      <c r="Q5" s="165" t="s">
        <v>381</v>
      </c>
    </row>
    <row r="6" spans="1:24">
      <c r="A6" s="176" t="s">
        <v>382</v>
      </c>
      <c r="B6" s="193">
        <v>13798.28</v>
      </c>
      <c r="C6" s="193">
        <v>14157.77</v>
      </c>
      <c r="D6" s="177">
        <f>+C6-B6</f>
        <v>359.48999999999978</v>
      </c>
      <c r="E6" s="178">
        <f>+D6/B6</f>
        <v>2.60532472163197E-2</v>
      </c>
      <c r="F6" s="179" t="s">
        <v>383</v>
      </c>
    </row>
    <row r="7" spans="1:24" ht="13.8" thickBot="1">
      <c r="A7" s="176" t="s">
        <v>384</v>
      </c>
      <c r="B7" s="339">
        <v>13871</v>
      </c>
      <c r="C7" s="339">
        <v>14257.36</v>
      </c>
      <c r="D7" s="340">
        <f>+C7-B7</f>
        <v>386.36000000000058</v>
      </c>
      <c r="E7" s="341">
        <f>+D7/B7</f>
        <v>2.7853795688847278E-2</v>
      </c>
      <c r="F7" s="179" t="s">
        <v>385</v>
      </c>
    </row>
    <row r="8" spans="1:24">
      <c r="A8" s="180" t="s">
        <v>386</v>
      </c>
      <c r="B8" s="181">
        <v>0</v>
      </c>
      <c r="C8" s="181">
        <v>0</v>
      </c>
      <c r="D8" s="182">
        <f>+C8-B8</f>
        <v>0</v>
      </c>
      <c r="E8" s="183">
        <v>0</v>
      </c>
      <c r="F8" s="180" t="s">
        <v>387</v>
      </c>
      <c r="G8" s="180"/>
      <c r="H8" s="180"/>
      <c r="I8" s="180"/>
      <c r="J8" s="180"/>
      <c r="K8" s="180"/>
      <c r="L8" s="180"/>
      <c r="N8" s="184" t="s">
        <v>388</v>
      </c>
      <c r="O8" s="185"/>
      <c r="P8" s="185"/>
      <c r="Q8" s="185"/>
      <c r="R8" s="185"/>
      <c r="S8" s="185"/>
      <c r="T8" s="185"/>
      <c r="U8" s="185"/>
      <c r="V8" s="185"/>
      <c r="W8" s="185"/>
      <c r="X8" s="186"/>
    </row>
    <row r="9" spans="1:24">
      <c r="A9" s="187" t="s">
        <v>389</v>
      </c>
      <c r="B9" s="188">
        <f>B6</f>
        <v>13798.28</v>
      </c>
      <c r="C9" s="188">
        <f>C6</f>
        <v>14157.77</v>
      </c>
      <c r="D9" s="177">
        <f>+C9-B9</f>
        <v>359.48999999999978</v>
      </c>
      <c r="E9" s="178">
        <f>+D9/B9</f>
        <v>2.60532472163197E-2</v>
      </c>
      <c r="F9" s="189" t="s">
        <v>390</v>
      </c>
      <c r="G9" s="187"/>
      <c r="H9" s="187"/>
      <c r="I9" s="187"/>
      <c r="J9" s="187"/>
      <c r="K9" s="187"/>
      <c r="L9" s="187"/>
      <c r="N9" s="190" t="s">
        <v>391</v>
      </c>
      <c r="O9" s="191"/>
      <c r="P9" s="191"/>
      <c r="X9" s="192"/>
    </row>
    <row r="10" spans="1:24">
      <c r="A10" s="165" t="s">
        <v>392</v>
      </c>
      <c r="B10" s="193">
        <v>359.4</v>
      </c>
      <c r="C10" s="194">
        <f>B10*(1+P5)</f>
        <v>373.05719999999997</v>
      </c>
      <c r="D10" s="195">
        <f>+C10-B10</f>
        <v>13.657199999999989</v>
      </c>
      <c r="E10" s="178">
        <f>+D10/B10</f>
        <v>3.7999999999999971E-2</v>
      </c>
      <c r="F10" s="179" t="s">
        <v>393</v>
      </c>
      <c r="N10" s="196" t="s">
        <v>394</v>
      </c>
      <c r="O10" s="197"/>
      <c r="P10" s="197"/>
      <c r="Q10" s="197"/>
      <c r="X10" s="192"/>
    </row>
    <row r="11" spans="1:24">
      <c r="N11" s="198" t="s">
        <v>395</v>
      </c>
      <c r="X11" s="192"/>
    </row>
    <row r="12" spans="1:24">
      <c r="A12" s="165" t="s">
        <v>396</v>
      </c>
      <c r="N12" s="198" t="s">
        <v>397</v>
      </c>
      <c r="X12" s="192"/>
    </row>
    <row r="13" spans="1:24" ht="13.8" thickBot="1">
      <c r="A13" s="199" t="s">
        <v>398</v>
      </c>
      <c r="N13" s="200" t="s">
        <v>399</v>
      </c>
      <c r="O13" s="201"/>
      <c r="P13" s="201"/>
      <c r="Q13" s="201"/>
      <c r="R13" s="201"/>
      <c r="S13" s="201"/>
      <c r="T13" s="201"/>
      <c r="U13" s="201"/>
      <c r="V13" s="201"/>
      <c r="W13" s="201"/>
      <c r="X13" s="202"/>
    </row>
    <row r="14" spans="1:24">
      <c r="A14" s="191" t="s">
        <v>400</v>
      </c>
      <c r="B14" s="191"/>
      <c r="C14" s="191"/>
      <c r="D14" s="191"/>
      <c r="E14" s="191"/>
      <c r="F14" s="191"/>
      <c r="G14" s="191"/>
      <c r="H14" s="191"/>
    </row>
    <row r="15" spans="1:24">
      <c r="H15" s="165" t="s">
        <v>523</v>
      </c>
      <c r="I15" s="165" t="s">
        <v>524</v>
      </c>
      <c r="J15" s="165" t="s">
        <v>525</v>
      </c>
    </row>
    <row r="16" spans="1:24" s="203" customFormat="1"/>
    <row r="17" spans="1:19">
      <c r="A17" s="166" t="s">
        <v>401</v>
      </c>
      <c r="C17" s="204"/>
      <c r="D17" s="204"/>
      <c r="E17" s="204"/>
      <c r="F17" s="204"/>
      <c r="G17" s="204"/>
      <c r="H17" s="204"/>
      <c r="I17" s="204"/>
      <c r="J17" s="204"/>
      <c r="K17" s="205"/>
      <c r="L17" s="204"/>
    </row>
    <row r="18" spans="1:19" ht="12.75" customHeight="1">
      <c r="A18" s="197"/>
      <c r="B18" s="206" t="s">
        <v>402</v>
      </c>
      <c r="C18" s="206" t="s">
        <v>403</v>
      </c>
      <c r="E18" s="207"/>
      <c r="F18" s="207"/>
      <c r="G18" s="207"/>
      <c r="H18" s="207"/>
      <c r="I18" s="207"/>
      <c r="J18" s="207"/>
      <c r="K18" s="207"/>
      <c r="L18" s="207"/>
    </row>
    <row r="19" spans="1:19" ht="12.75" customHeight="1" thickBot="1">
      <c r="A19" s="197" t="s">
        <v>404</v>
      </c>
      <c r="B19" s="208">
        <v>14907600</v>
      </c>
      <c r="C19" s="209">
        <f>+B19/B22</f>
        <v>1</v>
      </c>
      <c r="D19" s="191"/>
      <c r="E19" s="207"/>
      <c r="F19" s="207"/>
      <c r="G19" s="207"/>
      <c r="H19" s="207"/>
      <c r="I19" s="207"/>
      <c r="J19" s="207"/>
      <c r="K19" s="207"/>
      <c r="L19" s="207"/>
    </row>
    <row r="20" spans="1:19" ht="12.75" customHeight="1">
      <c r="A20" s="197" t="s">
        <v>386</v>
      </c>
      <c r="B20" s="209">
        <v>0</v>
      </c>
      <c r="C20" s="209">
        <f>+B20/B22</f>
        <v>0</v>
      </c>
      <c r="D20" s="207"/>
      <c r="E20" s="207"/>
      <c r="F20" s="207"/>
      <c r="G20" s="207"/>
      <c r="H20" s="207"/>
      <c r="I20" s="207"/>
      <c r="J20" s="207"/>
      <c r="K20" s="207"/>
      <c r="L20" s="207"/>
      <c r="N20" s="213" t="s">
        <v>405</v>
      </c>
      <c r="O20" s="185"/>
      <c r="P20" s="185"/>
      <c r="Q20" s="185"/>
      <c r="R20" s="185"/>
      <c r="S20" s="186"/>
    </row>
    <row r="21" spans="1:19" ht="12.75" customHeight="1">
      <c r="A21" s="197" t="s">
        <v>392</v>
      </c>
      <c r="B21" s="209">
        <v>0</v>
      </c>
      <c r="C21" s="209">
        <f>+B21/B22</f>
        <v>0</v>
      </c>
      <c r="D21" s="207"/>
      <c r="E21" s="207"/>
      <c r="F21" s="207"/>
      <c r="G21" s="207"/>
      <c r="H21" s="207"/>
      <c r="I21" s="207"/>
      <c r="J21" s="207"/>
      <c r="K21" s="207"/>
      <c r="L21" s="207"/>
      <c r="N21" s="216" t="s">
        <v>406</v>
      </c>
      <c r="S21" s="192"/>
    </row>
    <row r="22" spans="1:19" ht="13.5" customHeight="1" thickBot="1">
      <c r="A22" s="210" t="s">
        <v>407</v>
      </c>
      <c r="B22" s="211">
        <f>SUM(B19:B21)</f>
        <v>14907600</v>
      </c>
      <c r="C22" s="211">
        <f>SUM(C19:C21)</f>
        <v>1</v>
      </c>
      <c r="D22" s="207"/>
      <c r="E22" s="207"/>
      <c r="F22" s="207"/>
      <c r="G22" s="207"/>
      <c r="H22" s="207"/>
      <c r="I22" s="207"/>
      <c r="J22" s="207"/>
      <c r="K22" s="207"/>
      <c r="L22" s="207"/>
      <c r="N22" s="216" t="s">
        <v>408</v>
      </c>
      <c r="S22" s="192"/>
    </row>
    <row r="23" spans="1:19" ht="13.8" thickTop="1">
      <c r="A23" s="212" t="s">
        <v>409</v>
      </c>
      <c r="B23" s="207"/>
      <c r="C23" s="207"/>
      <c r="D23" s="207"/>
      <c r="E23" s="207"/>
      <c r="F23" s="207"/>
      <c r="G23" s="207"/>
      <c r="H23" s="207"/>
      <c r="I23" s="207"/>
      <c r="J23" s="207"/>
      <c r="K23" s="207"/>
      <c r="L23" s="207"/>
      <c r="N23" s="216" t="s">
        <v>410</v>
      </c>
      <c r="S23" s="192"/>
    </row>
    <row r="24" spans="1:19" ht="13.8" thickBot="1">
      <c r="B24" s="207"/>
      <c r="C24" s="207"/>
      <c r="D24" s="214" t="s">
        <v>411</v>
      </c>
      <c r="E24" s="214"/>
      <c r="F24" s="214"/>
      <c r="G24" s="209"/>
      <c r="H24" s="813" t="s">
        <v>412</v>
      </c>
      <c r="I24" s="813"/>
      <c r="J24" s="813"/>
      <c r="K24" s="814" t="str">
        <f>$K$133</f>
        <v>Effective 7/1/26</v>
      </c>
      <c r="L24" s="814"/>
      <c r="N24" s="226" t="s">
        <v>413</v>
      </c>
      <c r="O24" s="201"/>
      <c r="P24" s="201"/>
      <c r="Q24" s="201"/>
      <c r="R24" s="201"/>
      <c r="S24" s="202"/>
    </row>
    <row r="25" spans="1:19">
      <c r="B25" s="217" t="s">
        <v>414</v>
      </c>
      <c r="C25" s="218"/>
      <c r="D25" s="206" t="s">
        <v>415</v>
      </c>
      <c r="E25" s="206" t="s">
        <v>416</v>
      </c>
      <c r="F25" s="206" t="s">
        <v>417</v>
      </c>
      <c r="G25" s="209"/>
      <c r="H25" s="206" t="s">
        <v>415</v>
      </c>
      <c r="I25" s="206" t="s">
        <v>416</v>
      </c>
      <c r="J25" s="206" t="s">
        <v>417</v>
      </c>
      <c r="L25" s="218"/>
    </row>
    <row r="26" spans="1:19">
      <c r="A26" s="221" t="s">
        <v>418</v>
      </c>
    </row>
    <row r="27" spans="1:19">
      <c r="A27" s="221" t="s">
        <v>419</v>
      </c>
      <c r="B27" s="222">
        <v>3341</v>
      </c>
      <c r="C27" s="223" t="s">
        <v>420</v>
      </c>
      <c r="D27" s="209">
        <f>B27</f>
        <v>3341</v>
      </c>
      <c r="E27" s="209">
        <v>0</v>
      </c>
      <c r="F27" s="209">
        <v>0</v>
      </c>
      <c r="G27" s="209"/>
      <c r="H27" s="209">
        <f>D27*(1+$E$7)</f>
        <v>3434.0595313964391</v>
      </c>
      <c r="I27" s="209">
        <f>+E27*(1+$E$9)</f>
        <v>0</v>
      </c>
      <c r="J27" s="209">
        <f>F27*(1+$E$10)</f>
        <v>0</v>
      </c>
      <c r="K27" s="315">
        <f>ROUND(SUM(H27:J27),0)</f>
        <v>3434</v>
      </c>
      <c r="L27" s="225" t="s">
        <v>420</v>
      </c>
    </row>
    <row r="28" spans="1:19">
      <c r="A28" s="302" t="s">
        <v>421</v>
      </c>
      <c r="B28" s="222">
        <v>4888</v>
      </c>
      <c r="C28" s="223" t="s">
        <v>420</v>
      </c>
      <c r="D28" s="209">
        <f>B28</f>
        <v>4888</v>
      </c>
      <c r="E28" s="209">
        <v>0</v>
      </c>
      <c r="F28" s="209">
        <v>0</v>
      </c>
      <c r="G28" s="209"/>
      <c r="H28" s="209">
        <f>D28*(1+$E$7)</f>
        <v>5024.1493533270859</v>
      </c>
      <c r="I28" s="209">
        <f>+E28*(1+$E$9)</f>
        <v>0</v>
      </c>
      <c r="J28" s="209">
        <f>F28*(1+$E$10)</f>
        <v>0</v>
      </c>
      <c r="K28" s="315">
        <f t="shared" ref="K28:K43" si="0">ROUND(SUM(H28:J28),0)</f>
        <v>5024</v>
      </c>
      <c r="L28" s="225" t="s">
        <v>420</v>
      </c>
    </row>
    <row r="29" spans="1:19">
      <c r="A29" s="221" t="s">
        <v>422</v>
      </c>
      <c r="B29" s="222">
        <v>0</v>
      </c>
      <c r="C29" s="223" t="s">
        <v>420</v>
      </c>
      <c r="D29" s="209">
        <f t="shared" ref="D29:D43" si="1">B29</f>
        <v>0</v>
      </c>
      <c r="E29" s="209">
        <v>0</v>
      </c>
      <c r="F29" s="209">
        <v>0</v>
      </c>
      <c r="G29" s="209"/>
      <c r="H29" s="209">
        <f>D29*(1+$E$7)</f>
        <v>0</v>
      </c>
      <c r="I29" s="209">
        <v>0</v>
      </c>
      <c r="J29" s="209">
        <v>0</v>
      </c>
      <c r="K29" s="315">
        <f>ROUND(SUM(H29:J29),0)</f>
        <v>0</v>
      </c>
      <c r="L29" s="225" t="s">
        <v>420</v>
      </c>
    </row>
    <row r="30" spans="1:19">
      <c r="A30" s="303" t="s">
        <v>423</v>
      </c>
      <c r="B30" s="222"/>
      <c r="C30" s="223"/>
      <c r="D30" s="209"/>
      <c r="E30" s="209"/>
      <c r="F30" s="209"/>
      <c r="G30" s="209"/>
      <c r="H30" s="209"/>
      <c r="I30" s="209"/>
      <c r="J30" s="209"/>
      <c r="K30" s="315">
        <f t="shared" si="0"/>
        <v>0</v>
      </c>
      <c r="L30" s="225"/>
    </row>
    <row r="31" spans="1:19">
      <c r="A31" s="303" t="s">
        <v>424</v>
      </c>
      <c r="B31" s="222">
        <v>2493</v>
      </c>
      <c r="C31" s="223" t="s">
        <v>420</v>
      </c>
      <c r="D31" s="209">
        <f t="shared" si="1"/>
        <v>2493</v>
      </c>
      <c r="E31" s="209">
        <v>0</v>
      </c>
      <c r="F31" s="209">
        <v>0</v>
      </c>
      <c r="G31" s="209"/>
      <c r="H31" s="209">
        <f>D31*(1+$E$7)</f>
        <v>2562.4395126522963</v>
      </c>
      <c r="I31" s="209">
        <v>0</v>
      </c>
      <c r="J31" s="209">
        <v>0</v>
      </c>
      <c r="K31" s="315">
        <f t="shared" si="0"/>
        <v>2562</v>
      </c>
      <c r="L31" s="225" t="s">
        <v>420</v>
      </c>
      <c r="N31" s="286"/>
    </row>
    <row r="32" spans="1:19">
      <c r="A32" s="176" t="s">
        <v>425</v>
      </c>
      <c r="B32" s="222"/>
      <c r="C32" s="227"/>
      <c r="D32" s="206"/>
      <c r="E32" s="206"/>
      <c r="F32" s="206"/>
      <c r="G32" s="209"/>
      <c r="H32" s="206"/>
      <c r="I32" s="206"/>
      <c r="J32" s="206"/>
      <c r="K32" s="315">
        <f t="shared" si="0"/>
        <v>0</v>
      </c>
      <c r="L32" s="228"/>
    </row>
    <row r="33" spans="1:16">
      <c r="A33" s="199" t="s">
        <v>426</v>
      </c>
      <c r="B33" s="222">
        <v>8147</v>
      </c>
      <c r="C33" s="223" t="s">
        <v>427</v>
      </c>
      <c r="D33" s="209">
        <f t="shared" si="1"/>
        <v>8147</v>
      </c>
      <c r="E33" s="209">
        <v>0</v>
      </c>
      <c r="F33" s="209">
        <v>0</v>
      </c>
      <c r="G33" s="209"/>
      <c r="H33" s="209">
        <f t="shared" ref="H33:H39" si="2">D33*(1+$E$7)</f>
        <v>8373.924873477039</v>
      </c>
      <c r="I33" s="209">
        <f t="shared" ref="I33:I39" si="3">+E33*(1+$E$9)</f>
        <v>0</v>
      </c>
      <c r="J33" s="209">
        <f t="shared" ref="J33:J39" si="4">F33*(1+$E$10)</f>
        <v>0</v>
      </c>
      <c r="K33" s="315">
        <f t="shared" si="0"/>
        <v>8374</v>
      </c>
      <c r="L33" s="225" t="s">
        <v>427</v>
      </c>
    </row>
    <row r="34" spans="1:16">
      <c r="A34" s="199" t="s">
        <v>428</v>
      </c>
      <c r="B34" s="222">
        <v>16293</v>
      </c>
      <c r="C34" s="223" t="s">
        <v>427</v>
      </c>
      <c r="D34" s="209">
        <f t="shared" si="1"/>
        <v>16293</v>
      </c>
      <c r="E34" s="209">
        <v>0</v>
      </c>
      <c r="F34" s="209">
        <v>0</v>
      </c>
      <c r="G34" s="209"/>
      <c r="H34" s="209">
        <f t="shared" si="2"/>
        <v>16746.821893158391</v>
      </c>
      <c r="I34" s="209">
        <f t="shared" si="3"/>
        <v>0</v>
      </c>
      <c r="J34" s="209">
        <f t="shared" si="4"/>
        <v>0</v>
      </c>
      <c r="K34" s="315">
        <f t="shared" si="0"/>
        <v>16747</v>
      </c>
      <c r="L34" s="225" t="s">
        <v>427</v>
      </c>
    </row>
    <row r="35" spans="1:16">
      <c r="A35" s="199" t="s">
        <v>429</v>
      </c>
      <c r="B35" s="222">
        <v>26070</v>
      </c>
      <c r="C35" s="223" t="s">
        <v>427</v>
      </c>
      <c r="D35" s="209">
        <f t="shared" si="1"/>
        <v>26070</v>
      </c>
      <c r="E35" s="209">
        <v>0</v>
      </c>
      <c r="F35" s="209">
        <v>0</v>
      </c>
      <c r="G35" s="209"/>
      <c r="H35" s="209">
        <f t="shared" si="2"/>
        <v>26796.14845360825</v>
      </c>
      <c r="I35" s="209">
        <f t="shared" si="3"/>
        <v>0</v>
      </c>
      <c r="J35" s="209">
        <f t="shared" si="4"/>
        <v>0</v>
      </c>
      <c r="K35" s="315">
        <v>26796</v>
      </c>
      <c r="L35" s="225" t="s">
        <v>427</v>
      </c>
    </row>
    <row r="36" spans="1:16">
      <c r="A36" s="199" t="s">
        <v>430</v>
      </c>
      <c r="B36" s="222">
        <v>48880</v>
      </c>
      <c r="C36" s="223" t="s">
        <v>427</v>
      </c>
      <c r="D36" s="209">
        <f t="shared" si="1"/>
        <v>48880</v>
      </c>
      <c r="E36" s="209">
        <v>0</v>
      </c>
      <c r="F36" s="209">
        <v>0</v>
      </c>
      <c r="G36" s="209"/>
      <c r="H36" s="209">
        <f t="shared" si="2"/>
        <v>50241.493533270863</v>
      </c>
      <c r="I36" s="209">
        <f t="shared" si="3"/>
        <v>0</v>
      </c>
      <c r="J36" s="209">
        <f t="shared" si="4"/>
        <v>0</v>
      </c>
      <c r="K36" s="315">
        <v>50243</v>
      </c>
      <c r="L36" s="223" t="s">
        <v>427</v>
      </c>
    </row>
    <row r="37" spans="1:16">
      <c r="A37" s="343" t="s">
        <v>431</v>
      </c>
      <c r="B37" s="344">
        <v>81467</v>
      </c>
      <c r="C37" s="345" t="s">
        <v>427</v>
      </c>
      <c r="D37" s="346">
        <f t="shared" si="1"/>
        <v>81467</v>
      </c>
      <c r="E37" s="346">
        <v>0</v>
      </c>
      <c r="F37" s="346">
        <v>0</v>
      </c>
      <c r="G37" s="346"/>
      <c r="H37" s="346">
        <f t="shared" si="2"/>
        <v>83736.165173383328</v>
      </c>
      <c r="I37" s="346">
        <f t="shared" si="3"/>
        <v>0</v>
      </c>
      <c r="J37" s="346">
        <f t="shared" si="4"/>
        <v>0</v>
      </c>
      <c r="K37" s="347">
        <v>83740</v>
      </c>
      <c r="L37" s="345" t="s">
        <v>427</v>
      </c>
      <c r="O37" s="286"/>
      <c r="P37" s="286"/>
    </row>
    <row r="38" spans="1:16">
      <c r="A38" s="343" t="s">
        <v>432</v>
      </c>
      <c r="B38" s="344">
        <v>162935</v>
      </c>
      <c r="C38" s="345" t="s">
        <v>427</v>
      </c>
      <c r="D38" s="346">
        <f>B38</f>
        <v>162935</v>
      </c>
      <c r="E38" s="346">
        <v>0</v>
      </c>
      <c r="F38" s="346">
        <v>0</v>
      </c>
      <c r="G38" s="346"/>
      <c r="H38" s="346">
        <f t="shared" si="2"/>
        <v>167473.35820056236</v>
      </c>
      <c r="I38" s="346">
        <f t="shared" si="3"/>
        <v>0</v>
      </c>
      <c r="J38" s="346">
        <f t="shared" si="4"/>
        <v>0</v>
      </c>
      <c r="K38" s="347">
        <v>167481</v>
      </c>
      <c r="L38" s="345" t="s">
        <v>427</v>
      </c>
    </row>
    <row r="39" spans="1:16">
      <c r="A39" s="343" t="s">
        <v>433</v>
      </c>
      <c r="B39" s="344">
        <v>260695</v>
      </c>
      <c r="C39" s="345" t="s">
        <v>427</v>
      </c>
      <c r="D39" s="346">
        <f t="shared" si="1"/>
        <v>260695</v>
      </c>
      <c r="E39" s="346">
        <v>0</v>
      </c>
      <c r="F39" s="346">
        <v>0</v>
      </c>
      <c r="G39" s="346"/>
      <c r="H39" s="346">
        <f t="shared" si="2"/>
        <v>267956.34526710404</v>
      </c>
      <c r="I39" s="346">
        <f t="shared" si="3"/>
        <v>0</v>
      </c>
      <c r="J39" s="346">
        <f t="shared" si="4"/>
        <v>0</v>
      </c>
      <c r="K39" s="347">
        <v>267968</v>
      </c>
      <c r="L39" s="345" t="s">
        <v>427</v>
      </c>
    </row>
    <row r="40" spans="1:16">
      <c r="A40" s="199" t="s">
        <v>434</v>
      </c>
      <c r="B40" s="222"/>
      <c r="C40" s="223"/>
      <c r="D40" s="209"/>
      <c r="E40" s="209"/>
      <c r="F40" s="209"/>
      <c r="G40" s="209"/>
      <c r="H40" s="209"/>
      <c r="I40" s="209"/>
      <c r="J40" s="209"/>
      <c r="K40" s="315">
        <f t="shared" si="0"/>
        <v>0</v>
      </c>
      <c r="L40" s="225"/>
    </row>
    <row r="41" spans="1:16">
      <c r="A41" s="221" t="s">
        <v>426</v>
      </c>
      <c r="B41" s="222">
        <v>8147</v>
      </c>
      <c r="C41" s="223" t="s">
        <v>427</v>
      </c>
      <c r="D41" s="209">
        <f t="shared" si="1"/>
        <v>8147</v>
      </c>
      <c r="E41" s="209">
        <v>0</v>
      </c>
      <c r="F41" s="209">
        <v>0</v>
      </c>
      <c r="G41" s="209"/>
      <c r="H41" s="209">
        <f>D41*(1+$E$7)</f>
        <v>8373.924873477039</v>
      </c>
      <c r="I41" s="209">
        <f>+E41*(1+$E$9)</f>
        <v>0</v>
      </c>
      <c r="J41" s="209">
        <f>F41*(1+$E$10)</f>
        <v>0</v>
      </c>
      <c r="K41" s="315">
        <f t="shared" si="0"/>
        <v>8374</v>
      </c>
      <c r="L41" s="225" t="s">
        <v>427</v>
      </c>
    </row>
    <row r="42" spans="1:16">
      <c r="A42" s="221" t="s">
        <v>435</v>
      </c>
      <c r="B42" s="222">
        <v>16293</v>
      </c>
      <c r="C42" s="223" t="s">
        <v>427</v>
      </c>
      <c r="D42" s="209">
        <f t="shared" si="1"/>
        <v>16293</v>
      </c>
      <c r="E42" s="209">
        <v>0</v>
      </c>
      <c r="F42" s="209">
        <v>0</v>
      </c>
      <c r="G42" s="209"/>
      <c r="H42" s="209">
        <f>D42*(1+$E$7)</f>
        <v>16746.821893158391</v>
      </c>
      <c r="I42" s="209">
        <f>+E42*(1+$E$9)</f>
        <v>0</v>
      </c>
      <c r="J42" s="209">
        <f>F42*(1+$E$10)</f>
        <v>0</v>
      </c>
      <c r="K42" s="315">
        <f t="shared" si="0"/>
        <v>16747</v>
      </c>
      <c r="L42" s="225" t="s">
        <v>427</v>
      </c>
    </row>
    <row r="43" spans="1:16">
      <c r="A43" s="221" t="s">
        <v>429</v>
      </c>
      <c r="B43" s="222">
        <v>26070</v>
      </c>
      <c r="C43" s="223" t="s">
        <v>427</v>
      </c>
      <c r="D43" s="209">
        <f t="shared" si="1"/>
        <v>26070</v>
      </c>
      <c r="E43" s="209">
        <v>0</v>
      </c>
      <c r="F43" s="209">
        <v>0</v>
      </c>
      <c r="G43" s="209"/>
      <c r="H43" s="209">
        <f>D43*(1+$E$7)</f>
        <v>26796.14845360825</v>
      </c>
      <c r="I43" s="209">
        <f>+E43*(1+$E$9)</f>
        <v>0</v>
      </c>
      <c r="J43" s="209">
        <f>F43*(1+$E$10)</f>
        <v>0</v>
      </c>
      <c r="K43" s="315">
        <f t="shared" si="0"/>
        <v>26796</v>
      </c>
      <c r="L43" s="225" t="s">
        <v>427</v>
      </c>
    </row>
    <row r="44" spans="1:16">
      <c r="A44" s="199"/>
      <c r="B44" s="204"/>
      <c r="C44" s="220"/>
      <c r="D44" s="229"/>
      <c r="E44" s="229"/>
      <c r="F44" s="229"/>
      <c r="G44" s="204"/>
      <c r="H44" s="204"/>
      <c r="I44" s="204"/>
      <c r="J44" s="204"/>
      <c r="K44" s="205"/>
      <c r="L44" s="230"/>
    </row>
    <row r="45" spans="1:16">
      <c r="A45" s="176" t="s">
        <v>436</v>
      </c>
      <c r="B45" s="217"/>
      <c r="C45" s="218"/>
      <c r="D45" s="231"/>
      <c r="E45" s="231"/>
      <c r="F45" s="231"/>
      <c r="G45" s="207"/>
      <c r="H45" s="231"/>
      <c r="I45" s="231"/>
      <c r="J45" s="231"/>
      <c r="K45" s="232"/>
      <c r="L45" s="218"/>
    </row>
    <row r="46" spans="1:16">
      <c r="A46" s="176" t="s">
        <v>437</v>
      </c>
      <c r="B46" s="217"/>
      <c r="C46" s="218"/>
      <c r="D46" s="231"/>
      <c r="E46" s="231"/>
      <c r="F46" s="231"/>
      <c r="G46" s="207"/>
      <c r="H46" s="231"/>
      <c r="I46" s="231"/>
      <c r="J46" s="231"/>
      <c r="K46" s="232"/>
      <c r="L46" s="218"/>
    </row>
    <row r="47" spans="1:16">
      <c r="A47" s="176" t="s">
        <v>438</v>
      </c>
      <c r="B47" s="217"/>
      <c r="C47" s="218"/>
      <c r="D47" s="231"/>
      <c r="E47" s="231"/>
      <c r="F47" s="231"/>
      <c r="G47" s="207"/>
      <c r="H47" s="231"/>
      <c r="I47" s="231"/>
      <c r="J47" s="231"/>
      <c r="K47" s="232"/>
      <c r="L47" s="218"/>
    </row>
    <row r="48" spans="1:16">
      <c r="A48" s="176" t="s">
        <v>439</v>
      </c>
      <c r="B48" s="217"/>
      <c r="C48" s="218"/>
      <c r="D48" s="231"/>
      <c r="E48" s="231"/>
      <c r="F48" s="231"/>
      <c r="G48" s="207"/>
      <c r="H48" s="231"/>
      <c r="I48" s="231"/>
      <c r="J48" s="231"/>
      <c r="K48" s="232"/>
      <c r="L48" s="218"/>
    </row>
    <row r="49" spans="1:13">
      <c r="A49" s="176" t="s">
        <v>440</v>
      </c>
      <c r="B49" s="217"/>
      <c r="C49" s="218"/>
      <c r="D49" s="231"/>
      <c r="E49" s="231"/>
      <c r="F49" s="231"/>
      <c r="G49" s="207"/>
      <c r="H49" s="231"/>
      <c r="I49" s="231"/>
      <c r="J49" s="231"/>
      <c r="K49" s="232"/>
      <c r="L49" s="218"/>
    </row>
    <row r="50" spans="1:13">
      <c r="A50" s="176" t="s">
        <v>441</v>
      </c>
      <c r="B50" s="217"/>
      <c r="C50" s="218"/>
      <c r="D50" s="231"/>
      <c r="E50" s="231"/>
      <c r="F50" s="231"/>
      <c r="G50" s="207"/>
      <c r="H50" s="231"/>
      <c r="I50" s="231"/>
      <c r="J50" s="231"/>
      <c r="K50" s="232"/>
      <c r="L50" s="218"/>
    </row>
    <row r="51" spans="1:13">
      <c r="B51" s="207"/>
      <c r="C51" s="233"/>
      <c r="D51" s="207"/>
      <c r="E51" s="207"/>
      <c r="F51" s="207"/>
      <c r="G51" s="207"/>
      <c r="H51" s="207"/>
      <c r="I51" s="207"/>
      <c r="J51" s="207"/>
      <c r="K51" s="234"/>
      <c r="L51" s="230"/>
    </row>
    <row r="52" spans="1:13" s="203" customFormat="1">
      <c r="B52" s="235"/>
      <c r="C52" s="235"/>
      <c r="D52" s="235"/>
      <c r="E52" s="235"/>
      <c r="F52" s="235"/>
      <c r="G52" s="235"/>
      <c r="H52" s="235"/>
      <c r="I52" s="235"/>
      <c r="J52" s="235"/>
      <c r="K52" s="236"/>
      <c r="L52" s="235"/>
    </row>
    <row r="53" spans="1:13" s="203" customFormat="1">
      <c r="B53" s="235"/>
      <c r="C53" s="235"/>
      <c r="D53" s="235"/>
      <c r="E53" s="235"/>
      <c r="F53" s="235"/>
      <c r="G53" s="235"/>
      <c r="H53" s="235"/>
      <c r="I53" s="235"/>
      <c r="J53" s="235"/>
      <c r="K53" s="235"/>
      <c r="L53" s="235"/>
    </row>
    <row r="54" spans="1:13">
      <c r="A54" s="166" t="s">
        <v>442</v>
      </c>
      <c r="B54" s="237" t="s">
        <v>443</v>
      </c>
      <c r="C54" s="238"/>
      <c r="D54" s="238"/>
      <c r="E54" s="238"/>
      <c r="F54" s="238"/>
      <c r="G54" s="238"/>
      <c r="H54" s="238"/>
      <c r="I54" s="238"/>
      <c r="J54" s="238"/>
      <c r="K54" s="238"/>
      <c r="L54" s="238"/>
    </row>
    <row r="55" spans="1:13">
      <c r="B55" s="238"/>
      <c r="C55" s="238"/>
      <c r="D55" s="214" t="s">
        <v>411</v>
      </c>
      <c r="E55" s="214"/>
      <c r="F55" s="214"/>
      <c r="G55" s="209"/>
      <c r="H55" s="813" t="s">
        <v>412</v>
      </c>
      <c r="I55" s="813"/>
      <c r="J55" s="813"/>
      <c r="K55" s="215"/>
      <c r="L55" s="207"/>
    </row>
    <row r="56" spans="1:13">
      <c r="A56" s="179"/>
      <c r="B56" s="239" t="s">
        <v>414</v>
      </c>
      <c r="C56" s="220"/>
      <c r="D56" s="206" t="s">
        <v>415</v>
      </c>
      <c r="E56" s="206" t="s">
        <v>416</v>
      </c>
      <c r="F56" s="206" t="s">
        <v>417</v>
      </c>
      <c r="G56" s="209"/>
      <c r="H56" s="206" t="s">
        <v>415</v>
      </c>
      <c r="I56" s="206" t="s">
        <v>416</v>
      </c>
      <c r="J56" s="206" t="s">
        <v>417</v>
      </c>
      <c r="K56" s="817" t="str">
        <f>K24</f>
        <v>Effective 7/1/26</v>
      </c>
      <c r="L56" s="817"/>
    </row>
    <row r="57" spans="1:13">
      <c r="A57" s="176" t="s">
        <v>444</v>
      </c>
      <c r="B57" s="207"/>
      <c r="C57" s="207"/>
      <c r="D57" s="209"/>
      <c r="E57" s="209"/>
      <c r="F57" s="209"/>
      <c r="G57" s="209"/>
      <c r="H57" s="209"/>
      <c r="I57" s="209"/>
      <c r="J57" s="209"/>
      <c r="K57" s="204"/>
      <c r="L57" s="207"/>
    </row>
    <row r="58" spans="1:13">
      <c r="A58" s="176" t="s">
        <v>445</v>
      </c>
      <c r="B58" s="240">
        <v>10077</v>
      </c>
      <c r="C58" s="241" t="s">
        <v>172</v>
      </c>
      <c r="D58" s="209">
        <f t="shared" ref="D58:D60" si="5">B58</f>
        <v>10077</v>
      </c>
      <c r="E58" s="209">
        <v>0</v>
      </c>
      <c r="F58" s="209">
        <v>0</v>
      </c>
      <c r="G58" s="209"/>
      <c r="H58" s="209">
        <f>D58*(1+$E$7)</f>
        <v>10357.682699156516</v>
      </c>
      <c r="I58" s="209">
        <f>+E58*(1+$E$9)</f>
        <v>0</v>
      </c>
      <c r="J58" s="209">
        <v>0</v>
      </c>
      <c r="K58" s="315">
        <f>ROUND(SUM(H58:J58),0)</f>
        <v>10358</v>
      </c>
      <c r="L58" s="242" t="s">
        <v>172</v>
      </c>
      <c r="M58" s="176"/>
    </row>
    <row r="59" spans="1:13">
      <c r="A59" s="176" t="s">
        <v>446</v>
      </c>
      <c r="B59" s="240">
        <v>11854</v>
      </c>
      <c r="C59" s="241" t="s">
        <v>447</v>
      </c>
      <c r="D59" s="209">
        <f t="shared" si="5"/>
        <v>11854</v>
      </c>
      <c r="E59" s="209">
        <v>0</v>
      </c>
      <c r="F59" s="209">
        <v>0</v>
      </c>
      <c r="G59" s="209"/>
      <c r="H59" s="209">
        <f t="shared" ref="H59:H60" si="6">D59*(1+$E$7)</f>
        <v>12184.178894095598</v>
      </c>
      <c r="I59" s="209">
        <f t="shared" ref="I59:I60" si="7">+E59*(1+$E$9)</f>
        <v>0</v>
      </c>
      <c r="J59" s="209">
        <v>0</v>
      </c>
      <c r="K59" s="315">
        <f t="shared" ref="K59:K63" si="8">ROUND(SUM(H59:J59),0)</f>
        <v>12184</v>
      </c>
      <c r="L59" s="242" t="s">
        <v>447</v>
      </c>
      <c r="M59" s="176"/>
    </row>
    <row r="60" spans="1:13">
      <c r="A60" s="176" t="s">
        <v>448</v>
      </c>
      <c r="B60" s="240">
        <v>0</v>
      </c>
      <c r="C60" s="241"/>
      <c r="D60" s="209">
        <f t="shared" si="5"/>
        <v>0</v>
      </c>
      <c r="E60" s="209">
        <v>0</v>
      </c>
      <c r="F60" s="209">
        <v>0</v>
      </c>
      <c r="G60" s="209"/>
      <c r="H60" s="209">
        <f t="shared" si="6"/>
        <v>0</v>
      </c>
      <c r="I60" s="209">
        <f t="shared" si="7"/>
        <v>0</v>
      </c>
      <c r="J60" s="209">
        <v>0</v>
      </c>
      <c r="K60" s="315">
        <f t="shared" si="8"/>
        <v>0</v>
      </c>
      <c r="L60" s="242"/>
      <c r="M60" s="176"/>
    </row>
    <row r="61" spans="1:13">
      <c r="A61" s="176" t="s">
        <v>449</v>
      </c>
      <c r="B61" s="240"/>
      <c r="C61" s="241"/>
      <c r="D61" s="209"/>
      <c r="E61" s="209"/>
      <c r="F61" s="209"/>
      <c r="G61" s="209"/>
      <c r="H61" s="209"/>
      <c r="I61" s="209"/>
      <c r="J61" s="209"/>
      <c r="K61" s="315">
        <f t="shared" si="8"/>
        <v>0</v>
      </c>
      <c r="L61" s="242"/>
      <c r="M61" s="176"/>
    </row>
    <row r="62" spans="1:13">
      <c r="A62" s="176" t="s">
        <v>450</v>
      </c>
      <c r="B62" s="240">
        <v>9248</v>
      </c>
      <c r="C62" s="241" t="s">
        <v>451</v>
      </c>
      <c r="D62" s="209">
        <f t="shared" ref="D62:D63" si="9">B62</f>
        <v>9248</v>
      </c>
      <c r="E62" s="209">
        <v>0</v>
      </c>
      <c r="F62" s="209">
        <v>0</v>
      </c>
      <c r="G62" s="209"/>
      <c r="H62" s="209">
        <f>D62*(1+$E$7)</f>
        <v>9505.5919025304611</v>
      </c>
      <c r="I62" s="209">
        <f>+E62*(1+$E$9)</f>
        <v>0</v>
      </c>
      <c r="J62" s="209">
        <v>0</v>
      </c>
      <c r="K62" s="315">
        <f t="shared" si="8"/>
        <v>9506</v>
      </c>
      <c r="L62" s="242" t="s">
        <v>451</v>
      </c>
      <c r="M62" s="176"/>
    </row>
    <row r="63" spans="1:13">
      <c r="A63" s="221" t="s">
        <v>452</v>
      </c>
      <c r="B63" s="240">
        <v>11854</v>
      </c>
      <c r="C63" s="243" t="s">
        <v>453</v>
      </c>
      <c r="D63" s="209">
        <f t="shared" si="9"/>
        <v>11854</v>
      </c>
      <c r="E63" s="209">
        <v>0</v>
      </c>
      <c r="F63" s="209">
        <v>0</v>
      </c>
      <c r="G63" s="209"/>
      <c r="H63" s="209">
        <f>D63*(1+$E$7)</f>
        <v>12184.178894095598</v>
      </c>
      <c r="I63" s="209">
        <v>0</v>
      </c>
      <c r="J63" s="209">
        <v>0</v>
      </c>
      <c r="K63" s="315">
        <f t="shared" si="8"/>
        <v>12184</v>
      </c>
      <c r="L63" s="244" t="s">
        <v>453</v>
      </c>
      <c r="M63" s="176"/>
    </row>
    <row r="64" spans="1:13">
      <c r="A64" s="221"/>
      <c r="B64" s="243"/>
      <c r="C64" s="243"/>
      <c r="D64" s="245"/>
      <c r="E64" s="245"/>
      <c r="F64" s="245"/>
      <c r="G64" s="245"/>
      <c r="H64" s="245"/>
      <c r="I64" s="245"/>
      <c r="J64" s="245"/>
      <c r="K64" s="246"/>
      <c r="L64" s="244"/>
      <c r="M64" s="176"/>
    </row>
    <row r="65" spans="1:16">
      <c r="A65" s="176"/>
      <c r="B65" s="238"/>
      <c r="C65" s="247"/>
      <c r="D65" s="245"/>
      <c r="E65" s="245"/>
      <c r="F65" s="245"/>
      <c r="G65" s="245"/>
      <c r="K65" s="818" t="str">
        <f>K56</f>
        <v>Effective 7/1/26</v>
      </c>
      <c r="L65" s="818"/>
      <c r="M65" s="818"/>
    </row>
    <row r="66" spans="1:16" ht="15">
      <c r="A66" s="176" t="s">
        <v>454</v>
      </c>
      <c r="B66" s="248" t="s">
        <v>455</v>
      </c>
      <c r="C66" s="249" t="s">
        <v>456</v>
      </c>
      <c r="D66" s="250" t="s">
        <v>457</v>
      </c>
      <c r="K66" s="251" t="s">
        <v>455</v>
      </c>
      <c r="L66" s="249" t="s">
        <v>456</v>
      </c>
      <c r="M66" s="250" t="s">
        <v>457</v>
      </c>
    </row>
    <row r="67" spans="1:16">
      <c r="A67" s="176" t="s">
        <v>426</v>
      </c>
      <c r="B67" s="240">
        <v>11854</v>
      </c>
      <c r="C67" s="240">
        <v>13714</v>
      </c>
      <c r="D67" s="252">
        <v>17615</v>
      </c>
      <c r="K67" s="316">
        <f>ROUND(B67*(1+$E$7),0)</f>
        <v>12184</v>
      </c>
      <c r="L67" s="316">
        <f>ROUND(C67*(1+$E$7),0)</f>
        <v>14096</v>
      </c>
      <c r="M67" s="317">
        <f>ROUND(D67*(1+$E$7),0)</f>
        <v>18106</v>
      </c>
      <c r="P67" s="245"/>
    </row>
    <row r="68" spans="1:16">
      <c r="A68" s="176" t="s">
        <v>428</v>
      </c>
      <c r="B68" s="348">
        <v>23709</v>
      </c>
      <c r="C68" s="348">
        <v>27428</v>
      </c>
      <c r="D68" s="349">
        <v>35231</v>
      </c>
      <c r="E68" s="350"/>
      <c r="F68" s="350"/>
      <c r="G68" s="350"/>
      <c r="H68" s="350"/>
      <c r="I68" s="350"/>
      <c r="J68" s="350"/>
      <c r="K68" s="342">
        <v>24370</v>
      </c>
      <c r="L68" s="352">
        <v>28193</v>
      </c>
      <c r="M68" s="342">
        <f t="shared" ref="M68" si="10">ROUND(D68*(1+$E$7),0)</f>
        <v>36212</v>
      </c>
    </row>
    <row r="69" spans="1:16">
      <c r="A69" s="176" t="s">
        <v>429</v>
      </c>
      <c r="B69" s="348">
        <v>37934</v>
      </c>
      <c r="C69" s="348">
        <v>43885</v>
      </c>
      <c r="D69" s="349">
        <v>56369</v>
      </c>
      <c r="E69" s="350"/>
      <c r="F69" s="350"/>
      <c r="G69" s="350"/>
      <c r="H69" s="350"/>
      <c r="I69" s="350"/>
      <c r="J69" s="350"/>
      <c r="K69" s="342">
        <f t="shared" ref="K69" si="11">ROUND(B69*(1+$E$7),0)</f>
        <v>38991</v>
      </c>
      <c r="L69" s="342">
        <v>45109</v>
      </c>
      <c r="M69" s="342">
        <v>57942</v>
      </c>
    </row>
    <row r="70" spans="1:16">
      <c r="A70" s="176" t="s">
        <v>430</v>
      </c>
      <c r="B70" s="348">
        <v>71127</v>
      </c>
      <c r="C70" s="348">
        <v>82284</v>
      </c>
      <c r="D70" s="349">
        <v>105692</v>
      </c>
      <c r="E70" s="350"/>
      <c r="F70" s="350"/>
      <c r="G70" s="350"/>
      <c r="H70" s="350"/>
      <c r="I70" s="350"/>
      <c r="J70" s="350"/>
      <c r="K70" s="342">
        <v>73111</v>
      </c>
      <c r="L70" s="342">
        <v>84580</v>
      </c>
      <c r="M70" s="342">
        <v>108640</v>
      </c>
    </row>
    <row r="71" spans="1:16">
      <c r="A71" s="176" t="s">
        <v>431</v>
      </c>
      <c r="B71" s="348">
        <v>118546</v>
      </c>
      <c r="C71" s="348">
        <v>137141</v>
      </c>
      <c r="D71" s="349">
        <v>176156</v>
      </c>
      <c r="E71" s="350"/>
      <c r="F71" s="350"/>
      <c r="G71" s="350"/>
      <c r="H71" s="350"/>
      <c r="I71" s="350"/>
      <c r="J71" s="350"/>
      <c r="K71" s="342">
        <v>121853</v>
      </c>
      <c r="L71" s="342">
        <v>140967</v>
      </c>
      <c r="M71" s="342">
        <v>181071</v>
      </c>
    </row>
    <row r="72" spans="1:16">
      <c r="A72" s="221" t="s">
        <v>432</v>
      </c>
      <c r="B72" s="348">
        <v>237091</v>
      </c>
      <c r="C72" s="348">
        <v>274282</v>
      </c>
      <c r="D72" s="349">
        <v>352310</v>
      </c>
      <c r="E72" s="350"/>
      <c r="F72" s="350"/>
      <c r="G72" s="350"/>
      <c r="H72" s="350"/>
      <c r="I72" s="350"/>
      <c r="J72" s="350"/>
      <c r="K72" s="342">
        <v>243705</v>
      </c>
      <c r="L72" s="342">
        <v>281934</v>
      </c>
      <c r="M72" s="342">
        <v>362139</v>
      </c>
    </row>
    <row r="73" spans="1:16">
      <c r="A73" s="221" t="s">
        <v>433</v>
      </c>
      <c r="B73" s="348">
        <v>379346</v>
      </c>
      <c r="C73" s="348">
        <v>438850</v>
      </c>
      <c r="D73" s="349">
        <v>563694</v>
      </c>
      <c r="E73" s="351"/>
      <c r="F73" s="351"/>
      <c r="G73" s="350"/>
      <c r="H73" s="350"/>
      <c r="I73" s="350"/>
      <c r="J73" s="350"/>
      <c r="K73" s="342">
        <v>389930</v>
      </c>
      <c r="L73" s="342">
        <v>451094</v>
      </c>
      <c r="M73" s="342">
        <v>579421</v>
      </c>
    </row>
    <row r="74" spans="1:16">
      <c r="A74" s="199"/>
      <c r="B74" s="253"/>
      <c r="C74" s="254"/>
      <c r="D74" s="253"/>
      <c r="E74" s="255"/>
      <c r="F74" s="253"/>
      <c r="G74" s="253"/>
      <c r="H74" s="253"/>
      <c r="I74" s="254"/>
      <c r="J74" s="253"/>
      <c r="K74" s="256"/>
      <c r="L74" s="170"/>
    </row>
    <row r="75" spans="1:16">
      <c r="A75" s="257" t="s">
        <v>458</v>
      </c>
      <c r="B75" s="253"/>
      <c r="C75" s="254"/>
      <c r="D75" s="253"/>
      <c r="E75" s="255"/>
      <c r="F75" s="253"/>
      <c r="G75" s="253"/>
      <c r="H75" s="253"/>
      <c r="I75" s="254"/>
      <c r="J75" s="253"/>
      <c r="K75" s="256"/>
      <c r="L75" s="170"/>
    </row>
    <row r="76" spans="1:16">
      <c r="A76" s="257" t="s">
        <v>459</v>
      </c>
      <c r="B76" s="253"/>
      <c r="C76" s="254"/>
      <c r="D76" s="253"/>
      <c r="E76" s="255"/>
      <c r="F76" s="253"/>
      <c r="G76" s="253"/>
      <c r="H76" s="253"/>
      <c r="I76" s="254"/>
      <c r="J76" s="253"/>
      <c r="K76" s="256"/>
      <c r="L76" s="170"/>
    </row>
    <row r="77" spans="1:16">
      <c r="A77" s="176" t="s">
        <v>440</v>
      </c>
      <c r="B77" s="253"/>
      <c r="C77" s="253"/>
      <c r="D77" s="253"/>
    </row>
    <row r="78" spans="1:16">
      <c r="A78" s="221" t="s">
        <v>460</v>
      </c>
      <c r="B78" s="253"/>
      <c r="C78" s="253"/>
      <c r="D78" s="253"/>
    </row>
    <row r="79" spans="1:16">
      <c r="A79" s="221" t="s">
        <v>461</v>
      </c>
      <c r="B79" s="253"/>
      <c r="C79" s="253"/>
      <c r="D79" s="253"/>
    </row>
    <row r="80" spans="1:16">
      <c r="A80" s="221" t="s">
        <v>462</v>
      </c>
      <c r="B80" s="253"/>
      <c r="C80" s="253"/>
      <c r="D80" s="253"/>
    </row>
    <row r="81" spans="1:17">
      <c r="A81" s="221" t="s">
        <v>463</v>
      </c>
      <c r="B81" s="253"/>
      <c r="C81" s="253"/>
      <c r="D81" s="253"/>
    </row>
    <row r="82" spans="1:17">
      <c r="A82" s="176" t="s">
        <v>464</v>
      </c>
      <c r="B82" s="253"/>
      <c r="C82" s="253"/>
      <c r="D82" s="253"/>
    </row>
    <row r="83" spans="1:17">
      <c r="A83" s="179"/>
      <c r="B83" s="253" t="s">
        <v>465</v>
      </c>
      <c r="C83" s="253"/>
      <c r="D83" s="253"/>
    </row>
    <row r="84" spans="1:17">
      <c r="A84" s="179" t="s">
        <v>128</v>
      </c>
      <c r="B84" s="258" t="s">
        <v>466</v>
      </c>
      <c r="C84" s="253"/>
      <c r="D84" s="253"/>
    </row>
    <row r="85" spans="1:17">
      <c r="A85" s="179"/>
      <c r="B85" s="253"/>
      <c r="C85" s="253" t="s">
        <v>467</v>
      </c>
      <c r="D85" s="253"/>
    </row>
    <row r="86" spans="1:17">
      <c r="A86" s="179"/>
      <c r="B86" s="253"/>
      <c r="C86" s="253" t="s">
        <v>468</v>
      </c>
      <c r="D86" s="253"/>
    </row>
    <row r="87" spans="1:17">
      <c r="A87" s="179"/>
      <c r="B87" s="253"/>
      <c r="C87" s="253" t="s">
        <v>469</v>
      </c>
      <c r="D87" s="253"/>
    </row>
    <row r="88" spans="1:17">
      <c r="A88" s="179"/>
      <c r="B88" s="253"/>
      <c r="C88" s="253" t="s">
        <v>470</v>
      </c>
      <c r="D88" s="253"/>
    </row>
    <row r="89" spans="1:17">
      <c r="A89" s="179"/>
      <c r="B89" s="253" t="s">
        <v>471</v>
      </c>
      <c r="C89" s="253"/>
      <c r="D89" s="253"/>
    </row>
    <row r="90" spans="1:17">
      <c r="A90" s="176" t="s">
        <v>472</v>
      </c>
      <c r="B90" s="253"/>
      <c r="C90" s="253"/>
      <c r="D90" s="253"/>
    </row>
    <row r="91" spans="1:17" s="203" customFormat="1">
      <c r="B91" s="259"/>
      <c r="C91" s="259"/>
      <c r="D91" s="259"/>
      <c r="E91" s="259"/>
      <c r="F91" s="259"/>
      <c r="H91" s="260"/>
      <c r="I91" s="260"/>
      <c r="J91" s="260"/>
      <c r="K91" s="261"/>
      <c r="L91" s="262"/>
    </row>
    <row r="92" spans="1:17" s="203" customFormat="1">
      <c r="B92" s="259"/>
      <c r="C92" s="259"/>
      <c r="D92" s="259"/>
      <c r="E92" s="259"/>
      <c r="F92" s="259"/>
      <c r="H92" s="260"/>
      <c r="I92" s="260"/>
      <c r="J92" s="260"/>
      <c r="K92" s="261"/>
      <c r="L92" s="262"/>
    </row>
    <row r="93" spans="1:17">
      <c r="A93" s="166" t="s">
        <v>473</v>
      </c>
      <c r="L93" s="179"/>
    </row>
    <row r="94" spans="1:17">
      <c r="A94" s="197"/>
      <c r="B94" s="263" t="s">
        <v>474</v>
      </c>
      <c r="C94" s="263" t="s">
        <v>403</v>
      </c>
      <c r="Q94" s="167"/>
    </row>
    <row r="95" spans="1:17">
      <c r="A95" s="197" t="s">
        <v>404</v>
      </c>
      <c r="B95" s="264">
        <v>64643000</v>
      </c>
      <c r="C95" s="265">
        <f>+B95/B98</f>
        <v>1</v>
      </c>
      <c r="D95" s="191"/>
    </row>
    <row r="96" spans="1:17">
      <c r="A96" s="197" t="s">
        <v>386</v>
      </c>
      <c r="B96" s="266">
        <v>0</v>
      </c>
      <c r="C96" s="265">
        <f>+B96/B98</f>
        <v>0</v>
      </c>
    </row>
    <row r="97" spans="1:12">
      <c r="A97" s="197" t="s">
        <v>392</v>
      </c>
      <c r="B97" s="266">
        <v>0</v>
      </c>
      <c r="C97" s="265">
        <f>+B97/B98</f>
        <v>0</v>
      </c>
    </row>
    <row r="98" spans="1:12" ht="13.8" thickBot="1">
      <c r="A98" s="210" t="s">
        <v>407</v>
      </c>
      <c r="B98" s="267">
        <f>SUM(B95:B97)</f>
        <v>64643000</v>
      </c>
      <c r="C98" s="268">
        <f>SUM(C95:C97)</f>
        <v>1</v>
      </c>
    </row>
    <row r="99" spans="1:12" ht="13.8" thickTop="1"/>
    <row r="100" spans="1:12">
      <c r="A100" s="176" t="s">
        <v>475</v>
      </c>
      <c r="D100" s="269" t="s">
        <v>476</v>
      </c>
      <c r="E100" s="269"/>
      <c r="F100" s="269"/>
      <c r="G100" s="197"/>
      <c r="H100" s="815" t="s">
        <v>412</v>
      </c>
      <c r="I100" s="815"/>
      <c r="J100" s="815"/>
      <c r="K100" s="170"/>
    </row>
    <row r="101" spans="1:12">
      <c r="A101" s="179"/>
      <c r="B101" s="270" t="s">
        <v>414</v>
      </c>
      <c r="C101" s="170"/>
      <c r="D101" s="263" t="s">
        <v>415</v>
      </c>
      <c r="E101" s="263" t="s">
        <v>416</v>
      </c>
      <c r="F101" s="263" t="s">
        <v>417</v>
      </c>
      <c r="G101" s="197"/>
      <c r="H101" s="263" t="s">
        <v>415</v>
      </c>
      <c r="I101" s="263" t="s">
        <v>416</v>
      </c>
      <c r="J101" s="263" t="s">
        <v>417</v>
      </c>
      <c r="K101" s="271" t="str">
        <f>$K$133</f>
        <v>Effective 7/1/26</v>
      </c>
      <c r="L101" s="170"/>
    </row>
    <row r="102" spans="1:12">
      <c r="A102" s="165" t="s">
        <v>477</v>
      </c>
      <c r="D102" s="197"/>
      <c r="E102" s="197"/>
      <c r="F102" s="272"/>
      <c r="G102" s="197"/>
      <c r="H102" s="197"/>
      <c r="I102" s="197"/>
      <c r="J102" s="197"/>
    </row>
    <row r="103" spans="1:12">
      <c r="A103" s="165" t="s">
        <v>478</v>
      </c>
      <c r="B103" s="273">
        <v>13446</v>
      </c>
      <c r="C103" s="274" t="s">
        <v>479</v>
      </c>
      <c r="D103" s="272">
        <f>ROUND(+$C$95*B103,0)</f>
        <v>13446</v>
      </c>
      <c r="E103" s="272">
        <f>ROUND($C$96*B103,0)</f>
        <v>0</v>
      </c>
      <c r="F103" s="272">
        <f t="shared" ref="F103:F111" si="12">+B103-D103-E103</f>
        <v>0</v>
      </c>
      <c r="G103" s="197"/>
      <c r="H103" s="272">
        <f>D103*(1+$E$6)</f>
        <v>13796.311962070635</v>
      </c>
      <c r="I103" s="272">
        <f t="shared" ref="I103:I111" si="13">+E103*(1+$E$8)</f>
        <v>0</v>
      </c>
      <c r="J103" s="272">
        <f t="shared" ref="J103:J111" si="14">F103*(1+$E$10)</f>
        <v>0</v>
      </c>
      <c r="K103" s="318">
        <f>ROUND(SUM(H103:J103),0)</f>
        <v>13796</v>
      </c>
      <c r="L103" s="275" t="s">
        <v>479</v>
      </c>
    </row>
    <row r="104" spans="1:12">
      <c r="A104" s="165" t="s">
        <v>480</v>
      </c>
      <c r="B104" s="273">
        <v>7606</v>
      </c>
      <c r="C104" s="274" t="s">
        <v>479</v>
      </c>
      <c r="D104" s="272">
        <f t="shared" ref="D104:D111" si="15">ROUND(+$C$95*B104,0)</f>
        <v>7606</v>
      </c>
      <c r="E104" s="272">
        <f t="shared" ref="E104:E111" si="16">ROUND($C$96*B104,0)</f>
        <v>0</v>
      </c>
      <c r="F104" s="272">
        <f t="shared" si="12"/>
        <v>0</v>
      </c>
      <c r="G104" s="197"/>
      <c r="H104" s="272">
        <f t="shared" ref="H104:H111" si="17">D104*(1+$E$6)</f>
        <v>7804.1609983273283</v>
      </c>
      <c r="I104" s="272">
        <f t="shared" si="13"/>
        <v>0</v>
      </c>
      <c r="J104" s="272">
        <f t="shared" si="14"/>
        <v>0</v>
      </c>
      <c r="K104" s="318">
        <f t="shared" ref="K104:K111" si="18">ROUND(SUM(H104:J104),0)</f>
        <v>7804</v>
      </c>
      <c r="L104" s="275" t="s">
        <v>479</v>
      </c>
    </row>
    <row r="105" spans="1:12">
      <c r="A105" s="199" t="s">
        <v>481</v>
      </c>
      <c r="B105" s="273">
        <v>0</v>
      </c>
      <c r="C105" s="274" t="s">
        <v>479</v>
      </c>
      <c r="D105" s="272">
        <f t="shared" si="15"/>
        <v>0</v>
      </c>
      <c r="E105" s="272">
        <f t="shared" si="16"/>
        <v>0</v>
      </c>
      <c r="F105" s="272">
        <f t="shared" si="12"/>
        <v>0</v>
      </c>
      <c r="G105" s="197"/>
      <c r="H105" s="272">
        <f t="shared" si="17"/>
        <v>0</v>
      </c>
      <c r="I105" s="272">
        <f t="shared" si="13"/>
        <v>0</v>
      </c>
      <c r="J105" s="272">
        <f t="shared" si="14"/>
        <v>0</v>
      </c>
      <c r="K105" s="318">
        <f t="shared" si="18"/>
        <v>0</v>
      </c>
      <c r="L105" s="275" t="s">
        <v>479</v>
      </c>
    </row>
    <row r="106" spans="1:12">
      <c r="A106" s="165" t="s">
        <v>122</v>
      </c>
      <c r="B106" s="273">
        <v>11410</v>
      </c>
      <c r="C106" s="274" t="s">
        <v>482</v>
      </c>
      <c r="D106" s="272">
        <f t="shared" si="15"/>
        <v>11410</v>
      </c>
      <c r="E106" s="272">
        <f t="shared" si="16"/>
        <v>0</v>
      </c>
      <c r="F106" s="272">
        <f t="shared" si="12"/>
        <v>0</v>
      </c>
      <c r="G106" s="197"/>
      <c r="H106" s="272">
        <f t="shared" si="17"/>
        <v>11707.267550738208</v>
      </c>
      <c r="I106" s="272">
        <f t="shared" si="13"/>
        <v>0</v>
      </c>
      <c r="J106" s="272">
        <f t="shared" si="14"/>
        <v>0</v>
      </c>
      <c r="K106" s="318">
        <f t="shared" si="18"/>
        <v>11707</v>
      </c>
      <c r="L106" s="275" t="s">
        <v>482</v>
      </c>
    </row>
    <row r="107" spans="1:12">
      <c r="A107" s="165" t="s">
        <v>134</v>
      </c>
      <c r="B107" s="273">
        <v>13719</v>
      </c>
      <c r="C107" s="274" t="s">
        <v>482</v>
      </c>
      <c r="D107" s="272">
        <f t="shared" si="15"/>
        <v>13719</v>
      </c>
      <c r="E107" s="272">
        <f t="shared" si="16"/>
        <v>0</v>
      </c>
      <c r="F107" s="272">
        <f t="shared" si="12"/>
        <v>0</v>
      </c>
      <c r="G107" s="197"/>
      <c r="H107" s="272">
        <f t="shared" si="17"/>
        <v>14076.424498560691</v>
      </c>
      <c r="I107" s="272">
        <f t="shared" si="13"/>
        <v>0</v>
      </c>
      <c r="J107" s="272">
        <f t="shared" si="14"/>
        <v>0</v>
      </c>
      <c r="K107" s="318">
        <f t="shared" si="18"/>
        <v>14076</v>
      </c>
      <c r="L107" s="275" t="s">
        <v>482</v>
      </c>
    </row>
    <row r="108" spans="1:12">
      <c r="A108" s="165" t="s">
        <v>135</v>
      </c>
      <c r="B108" s="273">
        <v>8694</v>
      </c>
      <c r="C108" s="274" t="s">
        <v>482</v>
      </c>
      <c r="D108" s="272">
        <f t="shared" si="15"/>
        <v>8694</v>
      </c>
      <c r="E108" s="272">
        <f t="shared" si="16"/>
        <v>0</v>
      </c>
      <c r="F108" s="272">
        <f t="shared" si="12"/>
        <v>0</v>
      </c>
      <c r="G108" s="197"/>
      <c r="H108" s="272">
        <f t="shared" si="17"/>
        <v>8920.5069312986834</v>
      </c>
      <c r="I108" s="272">
        <f t="shared" si="13"/>
        <v>0</v>
      </c>
      <c r="J108" s="272">
        <f t="shared" si="14"/>
        <v>0</v>
      </c>
      <c r="K108" s="318">
        <f t="shared" si="18"/>
        <v>8921</v>
      </c>
      <c r="L108" s="275" t="s">
        <v>482</v>
      </c>
    </row>
    <row r="109" spans="1:12">
      <c r="A109" s="165" t="s">
        <v>483</v>
      </c>
      <c r="B109" s="273">
        <v>5704</v>
      </c>
      <c r="C109" s="274" t="s">
        <v>482</v>
      </c>
      <c r="D109" s="272">
        <f t="shared" si="15"/>
        <v>5704</v>
      </c>
      <c r="E109" s="272">
        <f t="shared" si="16"/>
        <v>0</v>
      </c>
      <c r="F109" s="272">
        <f t="shared" si="12"/>
        <v>0</v>
      </c>
      <c r="G109" s="197"/>
      <c r="H109" s="272">
        <f t="shared" si="17"/>
        <v>5852.6077221218875</v>
      </c>
      <c r="I109" s="272">
        <f t="shared" si="13"/>
        <v>0</v>
      </c>
      <c r="J109" s="272">
        <f t="shared" si="14"/>
        <v>0</v>
      </c>
      <c r="K109" s="318">
        <f t="shared" si="18"/>
        <v>5853</v>
      </c>
      <c r="L109" s="275" t="s">
        <v>482</v>
      </c>
    </row>
    <row r="110" spans="1:12">
      <c r="A110" s="165" t="s">
        <v>137</v>
      </c>
      <c r="B110" s="273">
        <v>1630</v>
      </c>
      <c r="C110" s="274" t="s">
        <v>482</v>
      </c>
      <c r="D110" s="272">
        <f t="shared" si="15"/>
        <v>1630</v>
      </c>
      <c r="E110" s="272">
        <f t="shared" si="16"/>
        <v>0</v>
      </c>
      <c r="F110" s="272">
        <f t="shared" si="12"/>
        <v>0</v>
      </c>
      <c r="G110" s="197"/>
      <c r="H110" s="272">
        <f t="shared" si="17"/>
        <v>1672.4667929626012</v>
      </c>
      <c r="I110" s="272">
        <f t="shared" si="13"/>
        <v>0</v>
      </c>
      <c r="J110" s="272">
        <f t="shared" si="14"/>
        <v>0</v>
      </c>
      <c r="K110" s="318">
        <f t="shared" si="18"/>
        <v>1672</v>
      </c>
      <c r="L110" s="275" t="s">
        <v>482</v>
      </c>
    </row>
    <row r="111" spans="1:12">
      <c r="A111" s="165" t="s">
        <v>484</v>
      </c>
      <c r="B111" s="273">
        <v>8829</v>
      </c>
      <c r="C111" s="274" t="s">
        <v>482</v>
      </c>
      <c r="D111" s="272">
        <f t="shared" si="15"/>
        <v>8829</v>
      </c>
      <c r="E111" s="272">
        <f t="shared" si="16"/>
        <v>0</v>
      </c>
      <c r="F111" s="272">
        <f t="shared" si="12"/>
        <v>0</v>
      </c>
      <c r="G111" s="197"/>
      <c r="H111" s="272">
        <f t="shared" si="17"/>
        <v>9059.0241196728875</v>
      </c>
      <c r="I111" s="272">
        <f t="shared" si="13"/>
        <v>0</v>
      </c>
      <c r="J111" s="272">
        <f t="shared" si="14"/>
        <v>0</v>
      </c>
      <c r="K111" s="318">
        <f t="shared" si="18"/>
        <v>9059</v>
      </c>
      <c r="L111" s="275" t="s">
        <v>482</v>
      </c>
    </row>
    <row r="112" spans="1:12">
      <c r="B112" s="273"/>
      <c r="C112" s="274"/>
      <c r="D112" s="276"/>
      <c r="E112" s="276"/>
      <c r="F112" s="276"/>
      <c r="H112" s="276"/>
      <c r="I112" s="276"/>
      <c r="J112" s="276"/>
      <c r="K112" s="277"/>
      <c r="L112" s="278"/>
    </row>
    <row r="113" spans="1:17" s="203" customFormat="1">
      <c r="L113" s="279"/>
    </row>
    <row r="114" spans="1:17">
      <c r="A114" s="166" t="s">
        <v>485</v>
      </c>
      <c r="L114" s="179"/>
    </row>
    <row r="115" spans="1:17">
      <c r="A115" s="197"/>
      <c r="B115" s="263" t="s">
        <v>486</v>
      </c>
      <c r="C115" s="263" t="s">
        <v>403</v>
      </c>
      <c r="M115" s="176"/>
      <c r="N115" s="176"/>
      <c r="O115" s="167"/>
      <c r="Q115" s="167"/>
    </row>
    <row r="116" spans="1:17">
      <c r="A116" s="197" t="s">
        <v>404</v>
      </c>
      <c r="B116" s="264">
        <f>2593538+663448+1215757+180462+3594114+1019608+3975572+433212+1444261+2318830+711924</f>
        <v>18150726</v>
      </c>
      <c r="C116" s="265">
        <f>+B116/B119</f>
        <v>0.81921626661024305</v>
      </c>
      <c r="D116" s="191"/>
    </row>
    <row r="117" spans="1:17">
      <c r="A117" s="197" t="s">
        <v>386</v>
      </c>
      <c r="B117" s="280">
        <f>53000+120000+121350+33550+124100+314900+3238582</f>
        <v>4005482</v>
      </c>
      <c r="C117" s="265">
        <f>+B117/B119</f>
        <v>0.18078373338975695</v>
      </c>
    </row>
    <row r="118" spans="1:17">
      <c r="A118" s="197" t="s">
        <v>392</v>
      </c>
      <c r="B118" s="266">
        <v>0</v>
      </c>
      <c r="C118" s="265">
        <f>+B118/B119</f>
        <v>0</v>
      </c>
    </row>
    <row r="119" spans="1:17" ht="13.8" thickBot="1">
      <c r="A119" s="210" t="s">
        <v>407</v>
      </c>
      <c r="B119" s="267">
        <f>SUM(B116:B118)</f>
        <v>22156208</v>
      </c>
      <c r="C119" s="268">
        <f>SUM(C116:C118)</f>
        <v>1</v>
      </c>
    </row>
    <row r="120" spans="1:17" ht="13.8" thickTop="1">
      <c r="A120" s="176" t="s">
        <v>487</v>
      </c>
    </row>
    <row r="121" spans="1:17">
      <c r="D121" s="281" t="s">
        <v>411</v>
      </c>
      <c r="E121" s="269"/>
      <c r="F121" s="269"/>
      <c r="G121" s="197"/>
      <c r="H121" s="815" t="s">
        <v>412</v>
      </c>
      <c r="I121" s="815"/>
      <c r="J121" s="815"/>
      <c r="K121" s="170"/>
    </row>
    <row r="122" spans="1:17">
      <c r="A122" s="179"/>
      <c r="B122" s="270" t="s">
        <v>414</v>
      </c>
      <c r="C122" s="170"/>
      <c r="D122" s="263" t="s">
        <v>415</v>
      </c>
      <c r="E122" s="263" t="s">
        <v>416</v>
      </c>
      <c r="F122" s="263" t="s">
        <v>417</v>
      </c>
      <c r="G122" s="197"/>
      <c r="H122" s="263" t="s">
        <v>415</v>
      </c>
      <c r="I122" s="263" t="s">
        <v>416</v>
      </c>
      <c r="J122" s="263" t="s">
        <v>417</v>
      </c>
      <c r="K122" s="271" t="str">
        <f>$K$133</f>
        <v>Effective 7/1/26</v>
      </c>
      <c r="L122" s="170"/>
    </row>
    <row r="123" spans="1:17">
      <c r="A123" s="165" t="s">
        <v>477</v>
      </c>
      <c r="D123" s="197"/>
      <c r="E123" s="197"/>
      <c r="F123" s="272"/>
      <c r="G123" s="197"/>
      <c r="H123" s="197"/>
      <c r="I123" s="197"/>
      <c r="J123" s="197"/>
    </row>
    <row r="124" spans="1:17">
      <c r="A124" s="165" t="s">
        <v>478</v>
      </c>
      <c r="B124" s="273">
        <v>3913</v>
      </c>
      <c r="C124" s="274" t="s">
        <v>479</v>
      </c>
      <c r="D124" s="272">
        <f>B124</f>
        <v>3913</v>
      </c>
      <c r="E124" s="282">
        <v>0</v>
      </c>
      <c r="F124" s="282">
        <v>0</v>
      </c>
      <c r="G124" s="197"/>
      <c r="H124" s="272">
        <f>D124*(1+$E$7)</f>
        <v>4021.9919025304598</v>
      </c>
      <c r="I124" s="282">
        <v>0</v>
      </c>
      <c r="J124" s="282">
        <v>0</v>
      </c>
      <c r="K124" s="318">
        <f>ROUND(SUM(H124:J124),0)</f>
        <v>4022</v>
      </c>
      <c r="L124" s="275" t="s">
        <v>479</v>
      </c>
    </row>
    <row r="125" spans="1:17">
      <c r="A125" s="165" t="s">
        <v>480</v>
      </c>
      <c r="B125" s="273">
        <v>2309</v>
      </c>
      <c r="C125" s="274" t="s">
        <v>479</v>
      </c>
      <c r="D125" s="272">
        <f>B125</f>
        <v>2309</v>
      </c>
      <c r="E125" s="282">
        <v>0</v>
      </c>
      <c r="F125" s="282">
        <v>0</v>
      </c>
      <c r="G125" s="197"/>
      <c r="H125" s="272">
        <f>D125*(1+$E$7)</f>
        <v>2373.3144142455485</v>
      </c>
      <c r="I125" s="282">
        <v>0</v>
      </c>
      <c r="J125" s="282">
        <v>0</v>
      </c>
      <c r="K125" s="318">
        <f t="shared" ref="K125:K128" si="19">ROUND(SUM(H125:J125),0)</f>
        <v>2373</v>
      </c>
      <c r="L125" s="275" t="s">
        <v>479</v>
      </c>
    </row>
    <row r="126" spans="1:17">
      <c r="A126" s="165" t="s">
        <v>488</v>
      </c>
      <c r="B126" s="273">
        <v>0</v>
      </c>
      <c r="C126" s="274"/>
      <c r="D126" s="272"/>
      <c r="E126" s="282"/>
      <c r="F126" s="282"/>
      <c r="G126" s="197"/>
      <c r="H126" s="272"/>
      <c r="I126" s="282"/>
      <c r="J126" s="282"/>
      <c r="K126" s="318">
        <f t="shared" si="19"/>
        <v>0</v>
      </c>
      <c r="L126" s="275"/>
    </row>
    <row r="127" spans="1:17">
      <c r="A127" s="199" t="s">
        <v>489</v>
      </c>
      <c r="B127" s="273">
        <v>1370</v>
      </c>
      <c r="C127" s="274" t="s">
        <v>482</v>
      </c>
      <c r="D127" s="272">
        <f>B127</f>
        <v>1370</v>
      </c>
      <c r="E127" s="282">
        <v>0</v>
      </c>
      <c r="F127" s="282">
        <v>0</v>
      </c>
      <c r="G127" s="197"/>
      <c r="H127" s="272">
        <f>D127*(1+$E$7)</f>
        <v>1408.1597000937209</v>
      </c>
      <c r="I127" s="282">
        <v>0</v>
      </c>
      <c r="J127" s="282">
        <v>0</v>
      </c>
      <c r="K127" s="318">
        <f t="shared" si="19"/>
        <v>1408</v>
      </c>
      <c r="L127" s="274" t="s">
        <v>482</v>
      </c>
    </row>
    <row r="128" spans="1:17">
      <c r="A128" s="199" t="s">
        <v>490</v>
      </c>
      <c r="B128" s="273">
        <v>1721</v>
      </c>
      <c r="C128" s="274" t="s">
        <v>482</v>
      </c>
      <c r="D128" s="272">
        <f>B128</f>
        <v>1721</v>
      </c>
      <c r="E128" s="282">
        <v>0</v>
      </c>
      <c r="F128" s="282">
        <v>0</v>
      </c>
      <c r="G128" s="197"/>
      <c r="H128" s="272">
        <f>D128*(1+$E$7)</f>
        <v>1768.9363823805063</v>
      </c>
      <c r="I128" s="282">
        <v>0</v>
      </c>
      <c r="J128" s="282">
        <v>0</v>
      </c>
      <c r="K128" s="318">
        <f t="shared" si="19"/>
        <v>1769</v>
      </c>
      <c r="L128" s="274" t="s">
        <v>482</v>
      </c>
    </row>
    <row r="129" spans="1:16" s="203" customFormat="1">
      <c r="L129" s="279"/>
    </row>
    <row r="130" spans="1:16">
      <c r="A130" s="166" t="s">
        <v>491</v>
      </c>
      <c r="I130" s="283"/>
      <c r="J130" s="283"/>
    </row>
    <row r="131" spans="1:16">
      <c r="A131" s="330" t="s">
        <v>492</v>
      </c>
      <c r="B131" s="331"/>
    </row>
    <row r="132" spans="1:16">
      <c r="A132" s="237" t="s">
        <v>493</v>
      </c>
      <c r="D132" s="269" t="s">
        <v>411</v>
      </c>
      <c r="E132" s="269"/>
      <c r="F132" s="269"/>
      <c r="G132" s="197"/>
      <c r="H132" s="815" t="s">
        <v>412</v>
      </c>
      <c r="I132" s="815"/>
      <c r="J132" s="815"/>
      <c r="K132" s="170"/>
    </row>
    <row r="133" spans="1:16">
      <c r="B133" s="270" t="s">
        <v>414</v>
      </c>
      <c r="C133" s="170"/>
      <c r="D133" s="263" t="s">
        <v>415</v>
      </c>
      <c r="E133" s="263" t="s">
        <v>416</v>
      </c>
      <c r="F133" s="263" t="s">
        <v>417</v>
      </c>
      <c r="G133" s="197"/>
      <c r="H133" s="263" t="s">
        <v>415</v>
      </c>
      <c r="I133" s="263" t="s">
        <v>416</v>
      </c>
      <c r="J133" s="263" t="s">
        <v>417</v>
      </c>
      <c r="K133" s="271" t="s">
        <v>521</v>
      </c>
      <c r="L133" s="170"/>
    </row>
    <row r="134" spans="1:16">
      <c r="D134" s="197"/>
      <c r="E134" s="197"/>
      <c r="F134" s="197"/>
      <c r="G134" s="197"/>
      <c r="H134" s="197"/>
      <c r="I134" s="197"/>
      <c r="J134" s="197"/>
    </row>
    <row r="135" spans="1:16">
      <c r="A135" s="284" t="s">
        <v>118</v>
      </c>
      <c r="B135" s="222">
        <v>13478</v>
      </c>
      <c r="C135" s="285" t="s">
        <v>494</v>
      </c>
      <c r="D135" s="289">
        <f>+D147</f>
        <v>7928</v>
      </c>
      <c r="E135" s="289">
        <f>+E141</f>
        <v>5550</v>
      </c>
      <c r="F135" s="289">
        <v>0</v>
      </c>
      <c r="G135" s="289"/>
      <c r="H135" s="289">
        <f>D135*(1+$E$6)</f>
        <v>8134.5501439309828</v>
      </c>
      <c r="I135" s="289">
        <f>+E135*(1+$E$9)</f>
        <v>5694.5955220505748</v>
      </c>
      <c r="J135" s="289">
        <f>F135*(1+$E$10)</f>
        <v>0</v>
      </c>
      <c r="K135" s="315">
        <f>ROUND(SUM(H135:J135),0)</f>
        <v>13829</v>
      </c>
      <c r="L135" s="223" t="s">
        <v>494</v>
      </c>
      <c r="N135" s="276"/>
      <c r="P135" s="286"/>
    </row>
    <row r="136" spans="1:16">
      <c r="A136" s="284" t="s">
        <v>495</v>
      </c>
      <c r="B136" s="287">
        <v>10958</v>
      </c>
      <c r="C136" s="288" t="s">
        <v>494</v>
      </c>
      <c r="D136" s="289">
        <v>0</v>
      </c>
      <c r="E136" s="289">
        <f t="shared" ref="E136:E139" si="20">B136</f>
        <v>10958</v>
      </c>
      <c r="F136" s="289">
        <v>0</v>
      </c>
      <c r="G136" s="289"/>
      <c r="H136" s="289">
        <f>D136*(1+$E$6)</f>
        <v>0</v>
      </c>
      <c r="I136" s="289">
        <f>+E136*(1+$E$9)</f>
        <v>11243.491482996431</v>
      </c>
      <c r="J136" s="289">
        <f>F136*(1+$E$10)</f>
        <v>0</v>
      </c>
      <c r="K136" s="315">
        <f t="shared" ref="K136:K151" si="21">ROUND(SUM(H136:J136),0)</f>
        <v>11243</v>
      </c>
      <c r="L136" s="223" t="s">
        <v>494</v>
      </c>
      <c r="N136" s="276"/>
      <c r="P136" s="286"/>
    </row>
    <row r="137" spans="1:16">
      <c r="A137" s="284" t="s">
        <v>496</v>
      </c>
      <c r="B137" s="287">
        <v>9589</v>
      </c>
      <c r="C137" s="288" t="s">
        <v>494</v>
      </c>
      <c r="D137" s="289">
        <v>0</v>
      </c>
      <c r="E137" s="289">
        <f t="shared" si="20"/>
        <v>9589</v>
      </c>
      <c r="F137" s="289">
        <v>0</v>
      </c>
      <c r="G137" s="289"/>
      <c r="H137" s="289">
        <f>D137*(1+$E$6)</f>
        <v>0</v>
      </c>
      <c r="I137" s="289">
        <f>+E137*(1+$E$9)</f>
        <v>9838.8245875572902</v>
      </c>
      <c r="J137" s="289">
        <f>F137*(1+$E$10)</f>
        <v>0</v>
      </c>
      <c r="K137" s="315">
        <f t="shared" si="21"/>
        <v>9839</v>
      </c>
      <c r="L137" s="223" t="s">
        <v>494</v>
      </c>
      <c r="N137" s="276"/>
      <c r="P137" s="286"/>
    </row>
    <row r="138" spans="1:16">
      <c r="A138" s="284" t="s">
        <v>497</v>
      </c>
      <c r="B138" s="287">
        <v>0</v>
      </c>
      <c r="C138" s="288" t="s">
        <v>494</v>
      </c>
      <c r="D138" s="289">
        <v>0</v>
      </c>
      <c r="E138" s="289">
        <f t="shared" si="20"/>
        <v>0</v>
      </c>
      <c r="F138" s="289">
        <v>0</v>
      </c>
      <c r="G138" s="289"/>
      <c r="H138" s="289">
        <f>D138*(1+$E$6)</f>
        <v>0</v>
      </c>
      <c r="I138" s="289">
        <f>+E138*(1+$E$9)</f>
        <v>0</v>
      </c>
      <c r="J138" s="289">
        <f>F138*(1+$E$10)</f>
        <v>0</v>
      </c>
      <c r="K138" s="315">
        <f t="shared" si="21"/>
        <v>0</v>
      </c>
      <c r="L138" s="223" t="s">
        <v>494</v>
      </c>
      <c r="N138" s="276"/>
      <c r="P138" s="286"/>
    </row>
    <row r="139" spans="1:16">
      <c r="A139" s="284" t="s">
        <v>498</v>
      </c>
      <c r="B139" s="287">
        <v>0</v>
      </c>
      <c r="C139" s="288" t="s">
        <v>494</v>
      </c>
      <c r="D139" s="289">
        <f>D145</f>
        <v>0</v>
      </c>
      <c r="E139" s="289">
        <f t="shared" si="20"/>
        <v>0</v>
      </c>
      <c r="F139" s="289">
        <v>0</v>
      </c>
      <c r="G139" s="289"/>
      <c r="H139" s="289">
        <f>D139*(1+$E$6)</f>
        <v>0</v>
      </c>
      <c r="I139" s="289">
        <f>+E139*(1+$E$9)</f>
        <v>0</v>
      </c>
      <c r="J139" s="289">
        <f>F139*(1+$E$10)</f>
        <v>0</v>
      </c>
      <c r="K139" s="315">
        <f t="shared" si="21"/>
        <v>0</v>
      </c>
      <c r="L139" s="223" t="s">
        <v>494</v>
      </c>
      <c r="N139" s="276"/>
      <c r="P139" s="286"/>
    </row>
    <row r="140" spans="1:16" hidden="1">
      <c r="A140" s="179" t="s">
        <v>499</v>
      </c>
      <c r="B140" s="222">
        <v>0</v>
      </c>
      <c r="C140" s="204"/>
      <c r="D140" s="209"/>
      <c r="E140" s="209"/>
      <c r="F140" s="209"/>
      <c r="G140" s="209"/>
      <c r="H140" s="209"/>
      <c r="I140" s="209"/>
      <c r="J140" s="209"/>
      <c r="K140" s="315">
        <f t="shared" si="21"/>
        <v>0</v>
      </c>
      <c r="L140" s="204"/>
    </row>
    <row r="141" spans="1:16" hidden="1">
      <c r="A141" s="284" t="s">
        <v>118</v>
      </c>
      <c r="B141" s="222">
        <v>5550</v>
      </c>
      <c r="C141" s="285" t="s">
        <v>494</v>
      </c>
      <c r="D141" s="209">
        <v>0</v>
      </c>
      <c r="E141" s="209">
        <f>B141</f>
        <v>5550</v>
      </c>
      <c r="F141" s="209">
        <v>0</v>
      </c>
      <c r="G141" s="209"/>
      <c r="H141" s="209">
        <f>D141*(1+$E$6)</f>
        <v>0</v>
      </c>
      <c r="I141" s="209">
        <f>+E141*(1+$E$9)</f>
        <v>5694.5955220505748</v>
      </c>
      <c r="J141" s="209">
        <f>F141*(1+$E$10)</f>
        <v>0</v>
      </c>
      <c r="K141" s="315">
        <f t="shared" si="21"/>
        <v>5695</v>
      </c>
      <c r="L141" s="223" t="s">
        <v>494</v>
      </c>
      <c r="N141" s="276"/>
      <c r="P141" s="286"/>
    </row>
    <row r="142" spans="1:16" hidden="1">
      <c r="A142" s="284" t="s">
        <v>495</v>
      </c>
      <c r="B142" s="222">
        <v>4439</v>
      </c>
      <c r="C142" s="285" t="s">
        <v>494</v>
      </c>
      <c r="D142" s="209">
        <v>0</v>
      </c>
      <c r="E142" s="209">
        <f t="shared" ref="E142:E145" si="22">B142</f>
        <v>4439</v>
      </c>
      <c r="F142" s="209">
        <v>0</v>
      </c>
      <c r="G142" s="209"/>
      <c r="H142" s="209">
        <f>D142*(1+$E$6)</f>
        <v>0</v>
      </c>
      <c r="I142" s="209">
        <f>+E142*(1+$E$9)</f>
        <v>4554.6503643932438</v>
      </c>
      <c r="J142" s="209">
        <f>F142*(1+$E$10)</f>
        <v>0</v>
      </c>
      <c r="K142" s="315">
        <f t="shared" si="21"/>
        <v>4555</v>
      </c>
      <c r="L142" s="223" t="s">
        <v>494</v>
      </c>
      <c r="N142" s="276"/>
      <c r="P142" s="286"/>
    </row>
    <row r="143" spans="1:16" hidden="1">
      <c r="A143" s="284" t="s">
        <v>496</v>
      </c>
      <c r="B143" s="222">
        <v>3884</v>
      </c>
      <c r="C143" s="285" t="s">
        <v>494</v>
      </c>
      <c r="D143" s="209">
        <v>0</v>
      </c>
      <c r="E143" s="209">
        <f t="shared" si="22"/>
        <v>3884</v>
      </c>
      <c r="F143" s="209">
        <v>0</v>
      </c>
      <c r="G143" s="209"/>
      <c r="H143" s="209">
        <f>D143*(1+$E$6)</f>
        <v>0</v>
      </c>
      <c r="I143" s="209">
        <f>+E143*(1+$E$9)</f>
        <v>3985.1908121881861</v>
      </c>
      <c r="J143" s="209">
        <f>F143*(1+$E$10)</f>
        <v>0</v>
      </c>
      <c r="K143" s="315">
        <f t="shared" si="21"/>
        <v>3985</v>
      </c>
      <c r="L143" s="223" t="s">
        <v>494</v>
      </c>
      <c r="N143" s="276"/>
      <c r="P143" s="286"/>
    </row>
    <row r="144" spans="1:16" hidden="1">
      <c r="A144" s="284" t="s">
        <v>497</v>
      </c>
      <c r="B144" s="222">
        <v>0</v>
      </c>
      <c r="C144" s="285" t="s">
        <v>494</v>
      </c>
      <c r="D144" s="209">
        <v>0</v>
      </c>
      <c r="E144" s="209">
        <f t="shared" si="22"/>
        <v>0</v>
      </c>
      <c r="F144" s="209">
        <v>0</v>
      </c>
      <c r="G144" s="209"/>
      <c r="H144" s="209">
        <f>D144*(1+$E$6)</f>
        <v>0</v>
      </c>
      <c r="I144" s="209">
        <f>+E144*(1+$E$9)</f>
        <v>0</v>
      </c>
      <c r="J144" s="209">
        <f>F144*(1+$E$10)</f>
        <v>0</v>
      </c>
      <c r="K144" s="315">
        <f t="shared" si="21"/>
        <v>0</v>
      </c>
      <c r="L144" s="223" t="s">
        <v>494</v>
      </c>
      <c r="N144" s="276"/>
      <c r="P144" s="286"/>
    </row>
    <row r="145" spans="1:16" hidden="1">
      <c r="A145" s="284" t="s">
        <v>498</v>
      </c>
      <c r="B145" s="222">
        <v>0</v>
      </c>
      <c r="C145" s="285" t="s">
        <v>494</v>
      </c>
      <c r="D145" s="209">
        <f>D151</f>
        <v>0</v>
      </c>
      <c r="E145" s="209">
        <f t="shared" si="22"/>
        <v>0</v>
      </c>
      <c r="F145" s="209">
        <v>0</v>
      </c>
      <c r="G145" s="209"/>
      <c r="H145" s="209">
        <f>D145*(1+$E$6)</f>
        <v>0</v>
      </c>
      <c r="I145" s="209">
        <f>+E145*(1+$E$9)</f>
        <v>0</v>
      </c>
      <c r="J145" s="209">
        <f>F145*(1+$E$10)</f>
        <v>0</v>
      </c>
      <c r="K145" s="315">
        <f t="shared" si="21"/>
        <v>0</v>
      </c>
      <c r="L145" s="223" t="s">
        <v>494</v>
      </c>
      <c r="N145" s="276"/>
      <c r="P145" s="286"/>
    </row>
    <row r="146" spans="1:16" hidden="1">
      <c r="A146" s="179" t="s">
        <v>500</v>
      </c>
      <c r="B146" s="222">
        <v>0</v>
      </c>
      <c r="C146" s="285"/>
      <c r="D146" s="209"/>
      <c r="E146" s="209"/>
      <c r="F146" s="209"/>
      <c r="G146" s="209"/>
      <c r="H146" s="209"/>
      <c r="I146" s="209"/>
      <c r="J146" s="209"/>
      <c r="K146" s="315">
        <f t="shared" si="21"/>
        <v>0</v>
      </c>
      <c r="L146" s="223"/>
      <c r="P146" s="286"/>
    </row>
    <row r="147" spans="1:16" hidden="1">
      <c r="A147" s="284" t="s">
        <v>118</v>
      </c>
      <c r="B147" s="222">
        <v>7928</v>
      </c>
      <c r="C147" s="285" t="s">
        <v>494</v>
      </c>
      <c r="D147" s="209">
        <f>B147</f>
        <v>7928</v>
      </c>
      <c r="E147" s="209">
        <v>0</v>
      </c>
      <c r="F147" s="209">
        <v>0</v>
      </c>
      <c r="G147" s="209"/>
      <c r="H147" s="209">
        <f>D147*(1+$E$6)</f>
        <v>8134.5501439309828</v>
      </c>
      <c r="I147" s="209">
        <f>+E147*(1+$E$9)</f>
        <v>0</v>
      </c>
      <c r="J147" s="209">
        <f>F147*(1+$E$10)</f>
        <v>0</v>
      </c>
      <c r="K147" s="315">
        <f t="shared" si="21"/>
        <v>8135</v>
      </c>
      <c r="L147" s="223" t="s">
        <v>494</v>
      </c>
      <c r="P147" s="286"/>
    </row>
    <row r="148" spans="1:16" hidden="1">
      <c r="A148" s="284" t="s">
        <v>495</v>
      </c>
      <c r="B148" s="222">
        <v>6342</v>
      </c>
      <c r="C148" s="285" t="s">
        <v>494</v>
      </c>
      <c r="D148" s="209">
        <f t="shared" ref="D148:D151" si="23">B148</f>
        <v>6342</v>
      </c>
      <c r="E148" s="209">
        <v>0</v>
      </c>
      <c r="F148" s="209">
        <v>0</v>
      </c>
      <c r="G148" s="209"/>
      <c r="H148" s="209">
        <f>D148*(1+$E$6)</f>
        <v>6507.2296938458994</v>
      </c>
      <c r="I148" s="209">
        <f>+E148*(1+$E$9)</f>
        <v>0</v>
      </c>
      <c r="J148" s="209">
        <f>F148*(1+$E$10)</f>
        <v>0</v>
      </c>
      <c r="K148" s="315">
        <f t="shared" si="21"/>
        <v>6507</v>
      </c>
      <c r="L148" s="223" t="s">
        <v>494</v>
      </c>
      <c r="P148" s="286"/>
    </row>
    <row r="149" spans="1:16" hidden="1">
      <c r="A149" s="284" t="s">
        <v>496</v>
      </c>
      <c r="B149" s="222">
        <v>5550</v>
      </c>
      <c r="C149" s="285" t="s">
        <v>494</v>
      </c>
      <c r="D149" s="209">
        <f t="shared" si="23"/>
        <v>5550</v>
      </c>
      <c r="E149" s="209">
        <v>0</v>
      </c>
      <c r="F149" s="209">
        <v>0</v>
      </c>
      <c r="G149" s="209"/>
      <c r="H149" s="209">
        <f>D149*(1+$E$6)</f>
        <v>5694.5955220505748</v>
      </c>
      <c r="I149" s="209">
        <f>+E149*(1+$E$9)</f>
        <v>0</v>
      </c>
      <c r="J149" s="209">
        <f>F149*(1+$E$10)</f>
        <v>0</v>
      </c>
      <c r="K149" s="315">
        <f t="shared" si="21"/>
        <v>5695</v>
      </c>
      <c r="L149" s="223" t="s">
        <v>494</v>
      </c>
      <c r="P149" s="286"/>
    </row>
    <row r="150" spans="1:16" hidden="1">
      <c r="A150" s="284" t="s">
        <v>497</v>
      </c>
      <c r="B150" s="222">
        <v>0</v>
      </c>
      <c r="C150" s="285" t="s">
        <v>494</v>
      </c>
      <c r="D150" s="209">
        <f t="shared" si="23"/>
        <v>0</v>
      </c>
      <c r="E150" s="209">
        <v>0</v>
      </c>
      <c r="F150" s="209">
        <v>0</v>
      </c>
      <c r="G150" s="209"/>
      <c r="H150" s="209">
        <f>D150*(1+$E$6)</f>
        <v>0</v>
      </c>
      <c r="I150" s="209">
        <f>+E150*(1+$E$9)</f>
        <v>0</v>
      </c>
      <c r="J150" s="209">
        <f>F150*(1+$E$10)</f>
        <v>0</v>
      </c>
      <c r="K150" s="315">
        <f t="shared" si="21"/>
        <v>0</v>
      </c>
      <c r="L150" s="223" t="s">
        <v>494</v>
      </c>
      <c r="P150" s="286"/>
    </row>
    <row r="151" spans="1:16" hidden="1">
      <c r="A151" s="284" t="s">
        <v>498</v>
      </c>
      <c r="B151" s="222">
        <v>0</v>
      </c>
      <c r="C151" s="285" t="s">
        <v>494</v>
      </c>
      <c r="D151" s="209">
        <f t="shared" si="23"/>
        <v>0</v>
      </c>
      <c r="E151" s="209">
        <v>0</v>
      </c>
      <c r="F151" s="209">
        <v>0</v>
      </c>
      <c r="G151" s="209"/>
      <c r="H151" s="209">
        <f>D151*(1+$E$6)</f>
        <v>0</v>
      </c>
      <c r="I151" s="209">
        <f>+E151*(1+$E$9)</f>
        <v>0</v>
      </c>
      <c r="J151" s="209">
        <f>F151*(1+$E$10)</f>
        <v>0</v>
      </c>
      <c r="K151" s="315">
        <f t="shared" si="21"/>
        <v>0</v>
      </c>
      <c r="L151" s="223" t="s">
        <v>494</v>
      </c>
      <c r="P151" s="286"/>
    </row>
    <row r="152" spans="1:16" s="203" customFormat="1">
      <c r="A152" s="290"/>
      <c r="B152" s="235"/>
      <c r="C152" s="235"/>
      <c r="D152" s="235"/>
      <c r="E152" s="235"/>
      <c r="F152" s="235"/>
      <c r="G152" s="235"/>
      <c r="H152" s="235"/>
      <c r="I152" s="235"/>
      <c r="J152" s="235"/>
      <c r="K152" s="235"/>
      <c r="L152" s="235"/>
    </row>
    <row r="153" spans="1:16" s="203" customFormat="1">
      <c r="A153" s="290"/>
      <c r="B153" s="235"/>
      <c r="C153" s="235"/>
      <c r="D153" s="235"/>
      <c r="E153" s="235"/>
      <c r="F153" s="235"/>
      <c r="G153" s="235"/>
      <c r="H153" s="235"/>
      <c r="I153" s="235"/>
      <c r="J153" s="235"/>
      <c r="K153" s="235"/>
      <c r="L153" s="235"/>
    </row>
    <row r="154" spans="1:16">
      <c r="A154" s="166" t="s">
        <v>501</v>
      </c>
      <c r="C154" s="204"/>
      <c r="D154" s="204"/>
      <c r="E154" s="204"/>
      <c r="F154" s="204"/>
      <c r="G154" s="204"/>
      <c r="H154" s="204"/>
      <c r="I154" s="204"/>
      <c r="J154" s="204"/>
      <c r="K154" s="204"/>
      <c r="L154" s="204"/>
    </row>
    <row r="155" spans="1:16">
      <c r="A155" s="197"/>
      <c r="B155" s="206" t="s">
        <v>502</v>
      </c>
      <c r="C155" s="206" t="s">
        <v>403</v>
      </c>
      <c r="D155" s="207"/>
      <c r="E155" s="207"/>
      <c r="F155" s="207"/>
      <c r="G155" s="207"/>
      <c r="H155" s="207"/>
      <c r="I155" s="207"/>
      <c r="J155" s="207"/>
      <c r="K155" s="207"/>
      <c r="L155" s="207"/>
    </row>
    <row r="156" spans="1:16">
      <c r="A156" s="197" t="s">
        <v>404</v>
      </c>
      <c r="B156" s="209">
        <v>0</v>
      </c>
      <c r="C156" s="209">
        <v>0</v>
      </c>
      <c r="D156" s="207"/>
      <c r="E156" s="207"/>
      <c r="F156" s="207"/>
      <c r="G156" s="207"/>
      <c r="H156" s="207"/>
      <c r="I156" s="207"/>
      <c r="J156" s="207"/>
      <c r="K156" s="207"/>
      <c r="L156" s="207"/>
    </row>
    <row r="157" spans="1:16">
      <c r="A157" s="197" t="s">
        <v>386</v>
      </c>
      <c r="B157" s="209">
        <v>0</v>
      </c>
      <c r="C157" s="209">
        <v>0</v>
      </c>
      <c r="D157" s="207"/>
      <c r="E157" s="207"/>
      <c r="F157" s="207"/>
      <c r="G157" s="207"/>
      <c r="H157" s="207"/>
      <c r="I157" s="207"/>
      <c r="J157" s="207"/>
      <c r="K157" s="207"/>
      <c r="L157" s="207"/>
    </row>
    <row r="158" spans="1:16">
      <c r="A158" s="197" t="s">
        <v>392</v>
      </c>
      <c r="B158" s="209">
        <v>0</v>
      </c>
      <c r="C158" s="209">
        <v>0</v>
      </c>
      <c r="D158" s="207"/>
      <c r="E158" s="207"/>
      <c r="F158" s="207"/>
      <c r="G158" s="207"/>
      <c r="H158" s="207"/>
      <c r="I158" s="207"/>
      <c r="J158" s="207"/>
      <c r="K158" s="207"/>
      <c r="L158" s="207"/>
    </row>
    <row r="159" spans="1:16" ht="13.8" thickBot="1">
      <c r="A159" s="210" t="s">
        <v>407</v>
      </c>
      <c r="B159" s="211">
        <f>SUM(B156:B158)</f>
        <v>0</v>
      </c>
      <c r="C159" s="211">
        <f>SUM(C156:C158)</f>
        <v>0</v>
      </c>
      <c r="D159" s="207"/>
      <c r="E159" s="207"/>
      <c r="F159" s="207"/>
      <c r="G159" s="207"/>
      <c r="H159" s="207"/>
      <c r="I159" s="207"/>
      <c r="J159" s="207"/>
      <c r="K159" s="207"/>
      <c r="L159" s="207"/>
    </row>
    <row r="160" spans="1:16" ht="13.8" thickTop="1">
      <c r="B160" s="207"/>
      <c r="C160" s="207"/>
      <c r="D160" s="207"/>
      <c r="E160" s="207"/>
      <c r="F160" s="207"/>
      <c r="G160" s="207"/>
      <c r="H160" s="207"/>
      <c r="I160" s="207"/>
      <c r="J160" s="207"/>
      <c r="K160" s="207"/>
      <c r="L160" s="207"/>
    </row>
    <row r="161" spans="1:16">
      <c r="A161" s="237" t="s">
        <v>503</v>
      </c>
      <c r="B161" s="207"/>
      <c r="C161" s="207"/>
      <c r="D161" s="214" t="s">
        <v>504</v>
      </c>
      <c r="E161" s="214"/>
      <c r="F161" s="214"/>
      <c r="G161" s="209"/>
      <c r="H161" s="813" t="s">
        <v>412</v>
      </c>
      <c r="I161" s="813"/>
      <c r="J161" s="813"/>
      <c r="K161" s="215"/>
      <c r="L161" s="207"/>
    </row>
    <row r="162" spans="1:16">
      <c r="A162" s="179"/>
      <c r="B162" s="217" t="s">
        <v>414</v>
      </c>
      <c r="C162" s="218"/>
      <c r="D162" s="206" t="s">
        <v>415</v>
      </c>
      <c r="E162" s="206" t="s">
        <v>416</v>
      </c>
      <c r="F162" s="206" t="s">
        <v>417</v>
      </c>
      <c r="G162" s="209"/>
      <c r="H162" s="206" t="s">
        <v>415</v>
      </c>
      <c r="I162" s="206" t="s">
        <v>416</v>
      </c>
      <c r="J162" s="206" t="s">
        <v>417</v>
      </c>
      <c r="K162" s="232" t="str">
        <f>$K$133</f>
        <v>Effective 7/1/26</v>
      </c>
      <c r="L162" s="218"/>
    </row>
    <row r="163" spans="1:16">
      <c r="B163" s="204"/>
      <c r="C163" s="233"/>
      <c r="D163" s="209"/>
      <c r="E163" s="209"/>
      <c r="F163" s="209"/>
      <c r="G163" s="209"/>
      <c r="H163" s="209"/>
      <c r="I163" s="209"/>
      <c r="J163" s="209"/>
      <c r="K163" s="234"/>
      <c r="L163" s="230"/>
      <c r="P163" s="286"/>
    </row>
    <row r="164" spans="1:16">
      <c r="A164" s="284" t="s">
        <v>118</v>
      </c>
      <c r="B164" s="222">
        <v>754</v>
      </c>
      <c r="C164" s="285" t="s">
        <v>494</v>
      </c>
      <c r="D164" s="209">
        <f>B164</f>
        <v>754</v>
      </c>
      <c r="E164" s="209">
        <v>0</v>
      </c>
      <c r="F164" s="209">
        <v>0</v>
      </c>
      <c r="G164" s="209"/>
      <c r="H164" s="209">
        <f>D164*(1+$E$6)</f>
        <v>773.6441484011051</v>
      </c>
      <c r="I164" s="209">
        <f>+E164*(1+$E$9)</f>
        <v>0</v>
      </c>
      <c r="J164" s="209">
        <f>F164*(1+$E$10)</f>
        <v>0</v>
      </c>
      <c r="K164" s="315">
        <f>ROUND(SUM(H164:J164),0)</f>
        <v>774</v>
      </c>
      <c r="L164" s="223" t="s">
        <v>494</v>
      </c>
      <c r="P164" s="286"/>
    </row>
    <row r="165" spans="1:16">
      <c r="A165" s="284" t="s">
        <v>495</v>
      </c>
      <c r="B165" s="222">
        <v>602</v>
      </c>
      <c r="C165" s="285" t="s">
        <v>494</v>
      </c>
      <c r="D165" s="209">
        <f>B165</f>
        <v>602</v>
      </c>
      <c r="E165" s="209">
        <v>0</v>
      </c>
      <c r="F165" s="209">
        <v>0</v>
      </c>
      <c r="G165" s="209"/>
      <c r="H165" s="209">
        <f>D165*(1+$E$6)</f>
        <v>617.68405482422452</v>
      </c>
      <c r="I165" s="209">
        <f>+E165*(1+$E$9)</f>
        <v>0</v>
      </c>
      <c r="J165" s="209">
        <f>F165*(1+$E$10)</f>
        <v>0</v>
      </c>
      <c r="K165" s="315">
        <f t="shared" ref="K165:K168" si="24">ROUND(SUM(H165:J165),0)</f>
        <v>618</v>
      </c>
      <c r="L165" s="223" t="s">
        <v>494</v>
      </c>
      <c r="P165" s="286"/>
    </row>
    <row r="166" spans="1:16">
      <c r="A166" s="284" t="s">
        <v>496</v>
      </c>
      <c r="B166" s="222">
        <v>527</v>
      </c>
      <c r="C166" s="285" t="s">
        <v>494</v>
      </c>
      <c r="D166" s="209">
        <f>B166</f>
        <v>527</v>
      </c>
      <c r="E166" s="209">
        <v>0</v>
      </c>
      <c r="F166" s="209">
        <v>0</v>
      </c>
      <c r="G166" s="209"/>
      <c r="H166" s="209">
        <f>D166*(1+$E$6)</f>
        <v>540.73006128300051</v>
      </c>
      <c r="I166" s="209">
        <f>+E166*(1+$E$9)</f>
        <v>0</v>
      </c>
      <c r="J166" s="209">
        <f>F166*(1+$E$10)</f>
        <v>0</v>
      </c>
      <c r="K166" s="315">
        <f t="shared" si="24"/>
        <v>541</v>
      </c>
      <c r="L166" s="223" t="s">
        <v>494</v>
      </c>
      <c r="P166" s="286"/>
    </row>
    <row r="167" spans="1:16">
      <c r="A167" s="284" t="s">
        <v>497</v>
      </c>
      <c r="B167" s="222">
        <v>0</v>
      </c>
      <c r="C167" s="285" t="s">
        <v>494</v>
      </c>
      <c r="D167" s="209">
        <f>B167</f>
        <v>0</v>
      </c>
      <c r="E167" s="209">
        <v>0</v>
      </c>
      <c r="F167" s="209">
        <v>0</v>
      </c>
      <c r="G167" s="209"/>
      <c r="H167" s="209">
        <f>D167*(1+$E$6)</f>
        <v>0</v>
      </c>
      <c r="I167" s="209">
        <f>+E167*(1+$E$9)</f>
        <v>0</v>
      </c>
      <c r="J167" s="209">
        <f>F167*(1+$E$10)</f>
        <v>0</v>
      </c>
      <c r="K167" s="315">
        <f t="shared" si="24"/>
        <v>0</v>
      </c>
      <c r="L167" s="223" t="s">
        <v>494</v>
      </c>
      <c r="P167" s="286"/>
    </row>
    <row r="168" spans="1:16">
      <c r="A168" s="284" t="s">
        <v>498</v>
      </c>
      <c r="B168" s="222">
        <v>0</v>
      </c>
      <c r="C168" s="285" t="s">
        <v>494</v>
      </c>
      <c r="D168" s="209">
        <f>B168</f>
        <v>0</v>
      </c>
      <c r="E168" s="209">
        <v>0</v>
      </c>
      <c r="F168" s="209">
        <v>0</v>
      </c>
      <c r="G168" s="209"/>
      <c r="H168" s="209">
        <f>D168*(1+$E$6)</f>
        <v>0</v>
      </c>
      <c r="I168" s="209">
        <f>+E168*(1+$E$9)</f>
        <v>0</v>
      </c>
      <c r="J168" s="209">
        <f>F168*(1+$E$10)</f>
        <v>0</v>
      </c>
      <c r="K168" s="315">
        <f t="shared" si="24"/>
        <v>0</v>
      </c>
      <c r="L168" s="223" t="s">
        <v>494</v>
      </c>
      <c r="P168" s="286"/>
    </row>
    <row r="169" spans="1:16" s="203" customFormat="1">
      <c r="A169" s="290"/>
      <c r="B169" s="290"/>
      <c r="C169" s="235"/>
      <c r="D169" s="235"/>
      <c r="E169" s="235"/>
      <c r="F169" s="235"/>
      <c r="G169" s="235"/>
      <c r="H169" s="235"/>
      <c r="I169" s="235"/>
      <c r="J169" s="235"/>
      <c r="K169" s="235"/>
      <c r="L169" s="235"/>
    </row>
    <row r="170" spans="1:16">
      <c r="A170" s="166" t="s">
        <v>505</v>
      </c>
      <c r="C170" s="204"/>
      <c r="D170" s="204"/>
      <c r="E170" s="204"/>
      <c r="F170" s="204"/>
      <c r="G170" s="204"/>
      <c r="H170" s="204"/>
      <c r="I170" s="204"/>
      <c r="J170" s="204"/>
      <c r="K170" s="204"/>
      <c r="L170" s="204"/>
    </row>
    <row r="171" spans="1:16">
      <c r="A171" s="197"/>
      <c r="B171" s="206" t="s">
        <v>502</v>
      </c>
      <c r="C171" s="206" t="s">
        <v>403</v>
      </c>
      <c r="D171" s="207"/>
      <c r="E171" s="207"/>
      <c r="F171" s="207"/>
      <c r="G171" s="207"/>
      <c r="H171" s="207"/>
      <c r="I171" s="207"/>
      <c r="J171" s="207"/>
      <c r="K171" s="207"/>
      <c r="L171" s="207"/>
    </row>
    <row r="172" spans="1:16">
      <c r="A172" s="197" t="s">
        <v>404</v>
      </c>
      <c r="B172" s="209">
        <v>0</v>
      </c>
      <c r="C172" s="209">
        <v>0</v>
      </c>
      <c r="D172" s="207"/>
      <c r="E172" s="207"/>
      <c r="F172" s="207"/>
      <c r="G172" s="207"/>
      <c r="H172" s="207"/>
      <c r="I172" s="207"/>
      <c r="J172" s="207"/>
      <c r="K172" s="207"/>
      <c r="L172" s="207"/>
    </row>
    <row r="173" spans="1:16">
      <c r="A173" s="197" t="s">
        <v>386</v>
      </c>
      <c r="B173" s="209">
        <v>0</v>
      </c>
      <c r="C173" s="209">
        <v>0</v>
      </c>
      <c r="D173" s="207"/>
      <c r="E173" s="207"/>
      <c r="F173" s="207"/>
      <c r="G173" s="207"/>
      <c r="H173" s="207"/>
      <c r="I173" s="207"/>
      <c r="J173" s="207"/>
      <c r="K173" s="207"/>
      <c r="L173" s="207"/>
    </row>
    <row r="174" spans="1:16">
      <c r="A174" s="197" t="s">
        <v>392</v>
      </c>
      <c r="B174" s="209">
        <v>0</v>
      </c>
      <c r="C174" s="209">
        <v>0</v>
      </c>
      <c r="D174" s="207"/>
      <c r="E174" s="207"/>
      <c r="F174" s="207"/>
      <c r="G174" s="207"/>
      <c r="H174" s="207"/>
      <c r="I174" s="207"/>
      <c r="J174" s="207"/>
      <c r="K174" s="207"/>
      <c r="L174" s="207"/>
    </row>
    <row r="175" spans="1:16" ht="13.8" thickBot="1">
      <c r="A175" s="210" t="s">
        <v>407</v>
      </c>
      <c r="B175" s="211">
        <f>SUM(B172:B174)</f>
        <v>0</v>
      </c>
      <c r="C175" s="211">
        <f>SUM(C172:C174)</f>
        <v>0</v>
      </c>
      <c r="D175" s="207"/>
      <c r="E175" s="207"/>
      <c r="F175" s="207"/>
      <c r="G175" s="207"/>
      <c r="H175" s="207"/>
      <c r="I175" s="207"/>
      <c r="J175" s="207"/>
      <c r="K175" s="207"/>
      <c r="L175" s="207"/>
    </row>
    <row r="176" spans="1:16" ht="13.8" thickTop="1">
      <c r="B176" s="207"/>
      <c r="C176" s="207"/>
      <c r="D176" s="207"/>
      <c r="E176" s="207"/>
      <c r="F176" s="207"/>
      <c r="G176" s="207"/>
      <c r="H176" s="207"/>
      <c r="I176" s="207"/>
      <c r="J176" s="207"/>
      <c r="K176" s="207"/>
      <c r="L176" s="207"/>
    </row>
    <row r="177" spans="1:16">
      <c r="A177" s="237" t="s">
        <v>506</v>
      </c>
      <c r="B177" s="207"/>
      <c r="C177" s="207"/>
      <c r="D177" s="214" t="s">
        <v>504</v>
      </c>
      <c r="E177" s="214"/>
      <c r="F177" s="214"/>
      <c r="G177" s="209"/>
      <c r="H177" s="813" t="s">
        <v>412</v>
      </c>
      <c r="I177" s="813"/>
      <c r="J177" s="813"/>
      <c r="K177" s="215"/>
      <c r="L177" s="207"/>
    </row>
    <row r="178" spans="1:16">
      <c r="A178" s="179"/>
      <c r="B178" s="217" t="s">
        <v>414</v>
      </c>
      <c r="C178" s="218"/>
      <c r="D178" s="206" t="s">
        <v>415</v>
      </c>
      <c r="E178" s="206" t="s">
        <v>416</v>
      </c>
      <c r="F178" s="206" t="s">
        <v>417</v>
      </c>
      <c r="G178" s="209"/>
      <c r="H178" s="206" t="s">
        <v>415</v>
      </c>
      <c r="I178" s="206" t="s">
        <v>416</v>
      </c>
      <c r="J178" s="206" t="s">
        <v>417</v>
      </c>
      <c r="K178" s="232" t="str">
        <f>$K$133</f>
        <v>Effective 7/1/26</v>
      </c>
      <c r="L178" s="218"/>
    </row>
    <row r="179" spans="1:16">
      <c r="B179" s="204"/>
      <c r="C179" s="207"/>
      <c r="D179" s="209"/>
      <c r="E179" s="209"/>
      <c r="F179" s="209"/>
      <c r="G179" s="209"/>
      <c r="H179" s="209"/>
      <c r="I179" s="209"/>
      <c r="J179" s="209"/>
      <c r="K179" s="207"/>
      <c r="L179" s="207"/>
    </row>
    <row r="180" spans="1:16">
      <c r="A180" s="284" t="s">
        <v>118</v>
      </c>
      <c r="B180" s="222">
        <v>5</v>
      </c>
      <c r="C180" s="285" t="s">
        <v>494</v>
      </c>
      <c r="D180" s="209">
        <v>0</v>
      </c>
      <c r="E180" s="209">
        <f>B180</f>
        <v>5</v>
      </c>
      <c r="F180" s="209">
        <v>0</v>
      </c>
      <c r="G180" s="209"/>
      <c r="H180" s="209">
        <f>D180*(1+$E$6)</f>
        <v>0</v>
      </c>
      <c r="I180" s="209">
        <f>+E180*(1+$E$9)</f>
        <v>5.1302662360815985</v>
      </c>
      <c r="J180" s="209">
        <f>F180*(1+$E$10)</f>
        <v>0</v>
      </c>
      <c r="K180" s="315">
        <f>ROUND(SUM(H180:J180),0)</f>
        <v>5</v>
      </c>
      <c r="L180" s="223" t="s">
        <v>494</v>
      </c>
      <c r="P180" s="286"/>
    </row>
    <row r="181" spans="1:16">
      <c r="A181" s="284" t="s">
        <v>495</v>
      </c>
      <c r="B181" s="222">
        <v>4</v>
      </c>
      <c r="C181" s="285" t="s">
        <v>494</v>
      </c>
      <c r="D181" s="209">
        <v>0</v>
      </c>
      <c r="E181" s="209">
        <f t="shared" ref="E181:E184" si="25">B181</f>
        <v>4</v>
      </c>
      <c r="F181" s="209">
        <v>0</v>
      </c>
      <c r="G181" s="209"/>
      <c r="H181" s="209">
        <f>D181*(1+$E$6)</f>
        <v>0</v>
      </c>
      <c r="I181" s="209">
        <f>+E181*(1+$E$9)</f>
        <v>4.104212988865279</v>
      </c>
      <c r="J181" s="209">
        <f>F181*(1+$E$10)</f>
        <v>0</v>
      </c>
      <c r="K181" s="315">
        <f t="shared" ref="K181:K184" si="26">ROUND(SUM(H181:J181),0)</f>
        <v>4</v>
      </c>
      <c r="L181" s="223" t="s">
        <v>494</v>
      </c>
      <c r="P181" s="286"/>
    </row>
    <row r="182" spans="1:16">
      <c r="A182" s="284" t="s">
        <v>496</v>
      </c>
      <c r="B182" s="222">
        <v>2</v>
      </c>
      <c r="C182" s="285" t="s">
        <v>494</v>
      </c>
      <c r="D182" s="209">
        <v>0</v>
      </c>
      <c r="E182" s="209">
        <f t="shared" si="25"/>
        <v>2</v>
      </c>
      <c r="F182" s="209">
        <v>0</v>
      </c>
      <c r="G182" s="209"/>
      <c r="H182" s="209">
        <f>D182*(1+$E$6)</f>
        <v>0</v>
      </c>
      <c r="I182" s="209">
        <f>+E182*(1+$E$9)</f>
        <v>2.0521064944326395</v>
      </c>
      <c r="J182" s="209">
        <f>F182*(1+$E$10)</f>
        <v>0</v>
      </c>
      <c r="K182" s="315">
        <f t="shared" si="26"/>
        <v>2</v>
      </c>
      <c r="L182" s="223" t="s">
        <v>494</v>
      </c>
      <c r="P182" s="286"/>
    </row>
    <row r="183" spans="1:16">
      <c r="A183" s="284" t="s">
        <v>497</v>
      </c>
      <c r="B183" s="222">
        <v>0</v>
      </c>
      <c r="C183" s="285" t="s">
        <v>494</v>
      </c>
      <c r="D183" s="209">
        <v>0</v>
      </c>
      <c r="E183" s="209">
        <f t="shared" si="25"/>
        <v>0</v>
      </c>
      <c r="F183" s="209">
        <v>0</v>
      </c>
      <c r="G183" s="209"/>
      <c r="H183" s="209">
        <f>D183*(1+$E$6)</f>
        <v>0</v>
      </c>
      <c r="I183" s="209">
        <f>+E183*(1+$E$9)</f>
        <v>0</v>
      </c>
      <c r="J183" s="209">
        <f>F183*(1+$E$10)</f>
        <v>0</v>
      </c>
      <c r="K183" s="315">
        <f t="shared" si="26"/>
        <v>0</v>
      </c>
      <c r="L183" s="223" t="s">
        <v>494</v>
      </c>
      <c r="P183" s="286"/>
    </row>
    <row r="184" spans="1:16">
      <c r="A184" s="284" t="s">
        <v>498</v>
      </c>
      <c r="B184" s="222">
        <v>0</v>
      </c>
      <c r="C184" s="285" t="s">
        <v>494</v>
      </c>
      <c r="D184" s="209">
        <v>0</v>
      </c>
      <c r="E184" s="209">
        <f t="shared" si="25"/>
        <v>0</v>
      </c>
      <c r="F184" s="209">
        <v>0</v>
      </c>
      <c r="G184" s="209"/>
      <c r="H184" s="209">
        <f>D184*(1+$E$6)</f>
        <v>0</v>
      </c>
      <c r="I184" s="209">
        <f>+E184*(1+$E$9)</f>
        <v>0</v>
      </c>
      <c r="J184" s="209">
        <f>F184*(1+$E$10)</f>
        <v>0</v>
      </c>
      <c r="K184" s="315">
        <f t="shared" si="26"/>
        <v>0</v>
      </c>
      <c r="L184" s="223" t="s">
        <v>494</v>
      </c>
      <c r="P184" s="286"/>
    </row>
    <row r="185" spans="1:16" s="203" customFormat="1">
      <c r="A185" s="290"/>
      <c r="B185" s="290"/>
      <c r="C185" s="235"/>
      <c r="D185" s="235"/>
      <c r="E185" s="235"/>
      <c r="F185" s="235"/>
      <c r="G185" s="235"/>
      <c r="H185" s="235"/>
      <c r="I185" s="235"/>
      <c r="J185" s="235"/>
      <c r="K185" s="235"/>
      <c r="L185" s="235"/>
    </row>
    <row r="186" spans="1:16">
      <c r="A186" s="166" t="s">
        <v>507</v>
      </c>
      <c r="C186" s="204"/>
      <c r="D186" s="204"/>
      <c r="E186" s="204"/>
      <c r="F186" s="204"/>
      <c r="G186" s="204"/>
      <c r="H186" s="204"/>
      <c r="I186" s="204"/>
      <c r="J186" s="204"/>
      <c r="K186" s="204"/>
      <c r="L186" s="204"/>
    </row>
    <row r="187" spans="1:16">
      <c r="B187" s="231" t="s">
        <v>502</v>
      </c>
      <c r="C187" s="231" t="s">
        <v>403</v>
      </c>
      <c r="D187" s="207"/>
      <c r="E187" s="207"/>
      <c r="F187" s="207"/>
      <c r="G187" s="207"/>
      <c r="H187" s="207"/>
      <c r="I187" s="207"/>
      <c r="J187" s="207"/>
      <c r="K187" s="207"/>
      <c r="L187" s="207"/>
    </row>
    <row r="188" spans="1:16">
      <c r="A188" s="165" t="s">
        <v>404</v>
      </c>
      <c r="B188" s="207">
        <v>0</v>
      </c>
      <c r="C188" s="207">
        <v>0</v>
      </c>
      <c r="D188" s="207"/>
      <c r="E188" s="207"/>
      <c r="F188" s="207"/>
      <c r="G188" s="207"/>
      <c r="H188" s="207"/>
      <c r="I188" s="207"/>
      <c r="J188" s="207"/>
      <c r="K188" s="207"/>
      <c r="L188" s="207"/>
    </row>
    <row r="189" spans="1:16">
      <c r="A189" s="165" t="s">
        <v>386</v>
      </c>
      <c r="B189" s="207">
        <v>0</v>
      </c>
      <c r="C189" s="207">
        <v>0</v>
      </c>
      <c r="D189" s="207"/>
      <c r="E189" s="207"/>
      <c r="F189" s="207"/>
      <c r="G189" s="207"/>
      <c r="H189" s="207"/>
      <c r="I189" s="207"/>
      <c r="J189" s="207"/>
      <c r="K189" s="207"/>
      <c r="L189" s="207"/>
    </row>
    <row r="190" spans="1:16">
      <c r="A190" s="165" t="s">
        <v>392</v>
      </c>
      <c r="B190" s="207">
        <v>0</v>
      </c>
      <c r="C190" s="207">
        <v>0</v>
      </c>
      <c r="D190" s="207"/>
      <c r="E190" s="207"/>
      <c r="F190" s="207"/>
      <c r="G190" s="207"/>
      <c r="H190" s="207"/>
      <c r="I190" s="207"/>
      <c r="J190" s="207"/>
      <c r="K190" s="207"/>
      <c r="L190" s="207"/>
    </row>
    <row r="191" spans="1:16" ht="13.8" thickBot="1">
      <c r="A191" s="291" t="s">
        <v>407</v>
      </c>
      <c r="B191" s="292">
        <f>SUM(B188:B190)</f>
        <v>0</v>
      </c>
      <c r="C191" s="292">
        <f>SUM(C188:C190)</f>
        <v>0</v>
      </c>
      <c r="D191" s="207"/>
      <c r="E191" s="207"/>
      <c r="F191" s="207"/>
      <c r="G191" s="207"/>
      <c r="H191" s="207"/>
      <c r="I191" s="207"/>
      <c r="J191" s="207"/>
      <c r="K191" s="207"/>
      <c r="L191" s="207"/>
    </row>
    <row r="192" spans="1:16" ht="13.8" thickTop="1">
      <c r="A192" s="237" t="s">
        <v>508</v>
      </c>
      <c r="B192" s="207"/>
      <c r="C192" s="207"/>
      <c r="D192" s="207"/>
      <c r="E192" s="207"/>
      <c r="F192" s="207"/>
      <c r="G192" s="207"/>
      <c r="H192" s="207"/>
      <c r="I192" s="207"/>
      <c r="J192" s="207"/>
      <c r="K192" s="207"/>
      <c r="L192" s="207"/>
    </row>
    <row r="193" spans="1:16">
      <c r="B193" s="204"/>
      <c r="C193" s="204"/>
      <c r="D193" s="214" t="s">
        <v>504</v>
      </c>
      <c r="E193" s="214"/>
      <c r="F193" s="214"/>
      <c r="G193" s="209"/>
      <c r="H193" s="813" t="s">
        <v>412</v>
      </c>
      <c r="I193" s="813"/>
      <c r="J193" s="813"/>
      <c r="K193" s="293"/>
      <c r="L193" s="204"/>
    </row>
    <row r="194" spans="1:16">
      <c r="A194" s="179"/>
      <c r="B194" s="239" t="s">
        <v>414</v>
      </c>
      <c r="C194" s="220"/>
      <c r="D194" s="206" t="s">
        <v>415</v>
      </c>
      <c r="E194" s="206" t="s">
        <v>416</v>
      </c>
      <c r="F194" s="206" t="s">
        <v>417</v>
      </c>
      <c r="G194" s="209"/>
      <c r="H194" s="206" t="s">
        <v>415</v>
      </c>
      <c r="I194" s="206" t="s">
        <v>416</v>
      </c>
      <c r="J194" s="206" t="s">
        <v>417</v>
      </c>
      <c r="K194" s="219" t="str">
        <f>$K$133</f>
        <v>Effective 7/1/26</v>
      </c>
      <c r="L194" s="220"/>
    </row>
    <row r="195" spans="1:16">
      <c r="B195" s="204"/>
      <c r="C195" s="285"/>
      <c r="D195" s="209"/>
      <c r="E195" s="209"/>
      <c r="F195" s="209"/>
      <c r="G195" s="209"/>
      <c r="H195" s="209"/>
      <c r="I195" s="209"/>
      <c r="J195" s="209"/>
      <c r="K195" s="294"/>
      <c r="L195" s="295"/>
      <c r="P195" s="286"/>
    </row>
    <row r="196" spans="1:16">
      <c r="A196" s="284" t="s">
        <v>118</v>
      </c>
      <c r="B196" s="222">
        <v>249</v>
      </c>
      <c r="C196" s="285" t="s">
        <v>494</v>
      </c>
      <c r="D196" s="209">
        <f>B196</f>
        <v>249</v>
      </c>
      <c r="E196" s="209">
        <v>0</v>
      </c>
      <c r="F196" s="209">
        <v>0</v>
      </c>
      <c r="G196" s="209"/>
      <c r="H196" s="209">
        <f>D196*(1+$E$6)</f>
        <v>255.48725855686362</v>
      </c>
      <c r="I196" s="209">
        <f>+E196*(1+$E$9)</f>
        <v>0</v>
      </c>
      <c r="J196" s="209">
        <f>F196*(1+$E$10)</f>
        <v>0</v>
      </c>
      <c r="K196" s="315">
        <f>ROUND(SUM(H196:J196),0)</f>
        <v>255</v>
      </c>
      <c r="L196" s="223" t="s">
        <v>494</v>
      </c>
      <c r="P196" s="286"/>
    </row>
    <row r="197" spans="1:16">
      <c r="A197" s="284" t="s">
        <v>495</v>
      </c>
      <c r="B197" s="222">
        <v>200</v>
      </c>
      <c r="C197" s="285" t="s">
        <v>494</v>
      </c>
      <c r="D197" s="209">
        <f>B197</f>
        <v>200</v>
      </c>
      <c r="E197" s="209">
        <v>0</v>
      </c>
      <c r="F197" s="209">
        <v>0</v>
      </c>
      <c r="G197" s="209"/>
      <c r="H197" s="209">
        <f>D197*(1+$E$6)</f>
        <v>205.21064944326395</v>
      </c>
      <c r="I197" s="209">
        <f>+E197*(1+$E$9)</f>
        <v>0</v>
      </c>
      <c r="J197" s="209">
        <f>F197*(1+$E$10)</f>
        <v>0</v>
      </c>
      <c r="K197" s="315">
        <f t="shared" ref="K197:K200" si="27">ROUND(SUM(H197:J197),0)</f>
        <v>205</v>
      </c>
      <c r="L197" s="223" t="s">
        <v>494</v>
      </c>
      <c r="P197" s="286"/>
    </row>
    <row r="198" spans="1:16">
      <c r="A198" s="284" t="s">
        <v>496</v>
      </c>
      <c r="B198" s="222">
        <v>174</v>
      </c>
      <c r="C198" s="285" t="s">
        <v>494</v>
      </c>
      <c r="D198" s="209">
        <f>B198</f>
        <v>174</v>
      </c>
      <c r="E198" s="209">
        <v>0</v>
      </c>
      <c r="F198" s="209">
        <v>0</v>
      </c>
      <c r="G198" s="209"/>
      <c r="H198" s="209">
        <f>D198*(1+$E$6)</f>
        <v>178.53326501563964</v>
      </c>
      <c r="I198" s="209">
        <f>+E198*(1+$E$9)</f>
        <v>0</v>
      </c>
      <c r="J198" s="209">
        <f>F198*(1+$E$10)</f>
        <v>0</v>
      </c>
      <c r="K198" s="315">
        <f t="shared" si="27"/>
        <v>179</v>
      </c>
      <c r="L198" s="223" t="s">
        <v>494</v>
      </c>
      <c r="P198" s="286"/>
    </row>
    <row r="199" spans="1:16">
      <c r="A199" s="284" t="s">
        <v>497</v>
      </c>
      <c r="B199" s="222">
        <v>0</v>
      </c>
      <c r="C199" s="285" t="s">
        <v>494</v>
      </c>
      <c r="D199" s="209">
        <f>B199</f>
        <v>0</v>
      </c>
      <c r="E199" s="209">
        <f t="shared" ref="E199:E200" si="28">B199</f>
        <v>0</v>
      </c>
      <c r="F199" s="209">
        <v>0</v>
      </c>
      <c r="G199" s="209"/>
      <c r="H199" s="209">
        <f>D199*(1+$E$6)</f>
        <v>0</v>
      </c>
      <c r="I199" s="209">
        <f>+E199*(1+$E$9)</f>
        <v>0</v>
      </c>
      <c r="J199" s="209">
        <f>F199*(1+$E$10)</f>
        <v>0</v>
      </c>
      <c r="K199" s="315">
        <f t="shared" si="27"/>
        <v>0</v>
      </c>
      <c r="L199" s="223" t="s">
        <v>494</v>
      </c>
      <c r="P199" s="286"/>
    </row>
    <row r="200" spans="1:16">
      <c r="A200" s="284" t="s">
        <v>498</v>
      </c>
      <c r="B200" s="222">
        <v>0</v>
      </c>
      <c r="C200" s="285" t="s">
        <v>494</v>
      </c>
      <c r="D200" s="209">
        <f>B200</f>
        <v>0</v>
      </c>
      <c r="E200" s="209">
        <f t="shared" si="28"/>
        <v>0</v>
      </c>
      <c r="F200" s="209">
        <v>0</v>
      </c>
      <c r="G200" s="209"/>
      <c r="H200" s="209">
        <f>D200*(1+$E$6)</f>
        <v>0</v>
      </c>
      <c r="I200" s="209">
        <f>+E200*(1+$E$9)</f>
        <v>0</v>
      </c>
      <c r="J200" s="209">
        <f>F200*(1+$E$10)</f>
        <v>0</v>
      </c>
      <c r="K200" s="315">
        <f t="shared" si="27"/>
        <v>0</v>
      </c>
      <c r="L200" s="223" t="s">
        <v>494</v>
      </c>
      <c r="P200" s="286"/>
    </row>
    <row r="201" spans="1:16" s="203" customFormat="1">
      <c r="B201" s="235"/>
      <c r="C201" s="235"/>
      <c r="D201" s="235"/>
      <c r="E201" s="235"/>
      <c r="F201" s="235"/>
      <c r="G201" s="235"/>
      <c r="H201" s="235"/>
      <c r="I201" s="235"/>
      <c r="J201" s="235"/>
      <c r="K201" s="235"/>
      <c r="L201" s="235"/>
    </row>
    <row r="202" spans="1:16">
      <c r="A202" s="166" t="s">
        <v>509</v>
      </c>
      <c r="C202" s="204"/>
      <c r="D202" s="204"/>
      <c r="E202" s="204"/>
      <c r="F202" s="204"/>
      <c r="G202" s="204"/>
      <c r="H202" s="204"/>
      <c r="I202" s="204"/>
      <c r="J202" s="204"/>
      <c r="K202" s="205"/>
      <c r="L202" s="204"/>
    </row>
    <row r="203" spans="1:16">
      <c r="A203" s="197"/>
      <c r="B203" s="206" t="s">
        <v>510</v>
      </c>
      <c r="C203" s="206" t="s">
        <v>403</v>
      </c>
      <c r="D203" s="204"/>
      <c r="E203" s="204"/>
      <c r="F203" s="204"/>
      <c r="G203" s="204"/>
      <c r="H203" s="204"/>
      <c r="I203" s="204"/>
      <c r="J203" s="204"/>
      <c r="K203" s="204"/>
      <c r="L203" s="204"/>
    </row>
    <row r="204" spans="1:16">
      <c r="A204" s="197" t="s">
        <v>404</v>
      </c>
      <c r="B204" s="209">
        <f>913625+1336519+858730</f>
        <v>3108874</v>
      </c>
      <c r="C204" s="209">
        <f>+B204/B207</f>
        <v>0.88308517984393553</v>
      </c>
      <c r="D204" s="204"/>
      <c r="E204" s="204"/>
      <c r="F204" s="204"/>
      <c r="G204" s="204"/>
      <c r="H204" s="204"/>
      <c r="I204" s="204"/>
      <c r="J204" s="204"/>
      <c r="K204" s="204"/>
      <c r="L204" s="204"/>
    </row>
    <row r="205" spans="1:16">
      <c r="A205" s="197" t="s">
        <v>386</v>
      </c>
      <c r="B205" s="209">
        <v>0</v>
      </c>
      <c r="C205" s="209">
        <f>+B205/B207</f>
        <v>0</v>
      </c>
      <c r="D205" s="204"/>
      <c r="E205" s="204"/>
      <c r="F205" s="204"/>
      <c r="G205" s="204"/>
      <c r="H205" s="204"/>
      <c r="I205" s="204"/>
      <c r="J205" s="204"/>
      <c r="K205" s="204"/>
      <c r="L205" s="204"/>
    </row>
    <row r="206" spans="1:16">
      <c r="A206" s="197" t="s">
        <v>392</v>
      </c>
      <c r="B206" s="209">
        <f>280000+40000+10892+36307+11099+11099+22198</f>
        <v>411595</v>
      </c>
      <c r="C206" s="209">
        <f>+B206/B207</f>
        <v>0.11691482015606443</v>
      </c>
      <c r="D206" s="204"/>
      <c r="E206" s="204"/>
      <c r="F206" s="204"/>
      <c r="G206" s="204"/>
      <c r="H206" s="204"/>
      <c r="I206" s="204"/>
      <c r="J206" s="204"/>
      <c r="K206" s="204"/>
      <c r="L206" s="204"/>
    </row>
    <row r="207" spans="1:16" ht="13.8" thickBot="1">
      <c r="A207" s="210" t="s">
        <v>407</v>
      </c>
      <c r="B207" s="211">
        <f>SUM(B204:B206)</f>
        <v>3520469</v>
      </c>
      <c r="C207" s="211">
        <f>SUM(C204:C206)</f>
        <v>1</v>
      </c>
      <c r="D207" s="204"/>
      <c r="E207" s="204"/>
      <c r="F207" s="204"/>
      <c r="G207" s="204"/>
      <c r="H207" s="204"/>
      <c r="I207" s="204"/>
      <c r="J207" s="204"/>
      <c r="K207" s="204"/>
      <c r="L207" s="204"/>
    </row>
    <row r="208" spans="1:16" ht="13.8" thickTop="1">
      <c r="B208" s="204"/>
      <c r="C208" s="204"/>
      <c r="D208" s="204"/>
      <c r="E208" s="204"/>
      <c r="F208" s="204"/>
      <c r="G208" s="204"/>
      <c r="H208" s="204"/>
      <c r="I208" s="204"/>
      <c r="J208" s="204"/>
      <c r="K208" s="204"/>
      <c r="L208" s="204"/>
    </row>
    <row r="209" spans="1:16">
      <c r="A209" s="237" t="s">
        <v>511</v>
      </c>
      <c r="B209" s="204"/>
      <c r="C209" s="204"/>
      <c r="D209" s="214" t="s">
        <v>411</v>
      </c>
      <c r="E209" s="214"/>
      <c r="F209" s="214"/>
      <c r="G209" s="209"/>
      <c r="H209" s="813" t="s">
        <v>412</v>
      </c>
      <c r="I209" s="813"/>
      <c r="J209" s="813"/>
      <c r="K209" s="296"/>
      <c r="L209" s="204"/>
    </row>
    <row r="210" spans="1:16">
      <c r="A210" s="179"/>
      <c r="B210" s="239" t="s">
        <v>414</v>
      </c>
      <c r="C210" s="220"/>
      <c r="D210" s="206" t="s">
        <v>415</v>
      </c>
      <c r="E210" s="206" t="s">
        <v>416</v>
      </c>
      <c r="F210" s="206" t="s">
        <v>417</v>
      </c>
      <c r="G210" s="209"/>
      <c r="H210" s="206" t="s">
        <v>415</v>
      </c>
      <c r="I210" s="206" t="s">
        <v>416</v>
      </c>
      <c r="J210" s="206" t="s">
        <v>417</v>
      </c>
      <c r="K210" s="219" t="str">
        <f>$K$133</f>
        <v>Effective 7/1/26</v>
      </c>
      <c r="L210" s="220"/>
    </row>
    <row r="211" spans="1:16">
      <c r="A211" s="165" t="s">
        <v>477</v>
      </c>
      <c r="B211" s="204"/>
      <c r="C211" s="204"/>
      <c r="D211" s="209"/>
      <c r="E211" s="209"/>
      <c r="F211" s="209"/>
      <c r="G211" s="209"/>
      <c r="H211" s="209"/>
      <c r="I211" s="209"/>
      <c r="J211" s="209"/>
      <c r="K211" s="204"/>
      <c r="L211" s="204"/>
    </row>
    <row r="212" spans="1:16">
      <c r="A212" s="284" t="s">
        <v>118</v>
      </c>
      <c r="B212" s="222">
        <v>1740</v>
      </c>
      <c r="C212" s="285" t="s">
        <v>479</v>
      </c>
      <c r="D212" s="209">
        <f>B212</f>
        <v>1740</v>
      </c>
      <c r="E212" s="209">
        <f>ROUND($C$205*B212,0)</f>
        <v>0</v>
      </c>
      <c r="F212" s="209">
        <v>0</v>
      </c>
      <c r="G212" s="209"/>
      <c r="H212" s="209">
        <f>D212*(1+$E$6)</f>
        <v>1785.3326501563963</v>
      </c>
      <c r="I212" s="209">
        <f>+E212*(1+$E$9)</f>
        <v>0</v>
      </c>
      <c r="J212" s="209">
        <f>F212*(1+$E$10)</f>
        <v>0</v>
      </c>
      <c r="K212" s="315">
        <f>ROUND(SUM(H212:J212),0)</f>
        <v>1785</v>
      </c>
      <c r="L212" s="223" t="s">
        <v>479</v>
      </c>
      <c r="P212" s="286"/>
    </row>
    <row r="213" spans="1:16">
      <c r="A213" s="284" t="s">
        <v>495</v>
      </c>
      <c r="B213" s="222">
        <v>1392</v>
      </c>
      <c r="C213" s="285" t="s">
        <v>479</v>
      </c>
      <c r="D213" s="209">
        <f t="shared" ref="D213:D216" si="29">B213</f>
        <v>1392</v>
      </c>
      <c r="E213" s="209">
        <f>ROUND($C$205*B213,0)</f>
        <v>0</v>
      </c>
      <c r="F213" s="209">
        <v>0</v>
      </c>
      <c r="G213" s="209"/>
      <c r="H213" s="209">
        <f>D213*(1+$E$6)</f>
        <v>1428.2661201251171</v>
      </c>
      <c r="I213" s="209">
        <f>+E213*(1+$E$9)</f>
        <v>0</v>
      </c>
      <c r="J213" s="209">
        <f>F213*(1+$E$10)</f>
        <v>0</v>
      </c>
      <c r="K213" s="315">
        <f t="shared" ref="K213:K220" si="30">ROUND(SUM(H213:J213),0)</f>
        <v>1428</v>
      </c>
      <c r="L213" s="223" t="s">
        <v>479</v>
      </c>
      <c r="P213" s="286"/>
    </row>
    <row r="214" spans="1:16">
      <c r="A214" s="284" t="s">
        <v>496</v>
      </c>
      <c r="B214" s="222">
        <v>1218</v>
      </c>
      <c r="C214" s="285" t="s">
        <v>479</v>
      </c>
      <c r="D214" s="209">
        <f t="shared" si="29"/>
        <v>1218</v>
      </c>
      <c r="E214" s="209">
        <f>ROUND($C$205*B214,0)</f>
        <v>0</v>
      </c>
      <c r="F214" s="209">
        <v>0</v>
      </c>
      <c r="G214" s="209"/>
      <c r="H214" s="209">
        <f>D214*(1+$E$6)</f>
        <v>1249.7328551094774</v>
      </c>
      <c r="I214" s="209">
        <f>+E214*(1+$E$9)</f>
        <v>0</v>
      </c>
      <c r="J214" s="209">
        <f>F214*(1+$E$10)</f>
        <v>0</v>
      </c>
      <c r="K214" s="315">
        <f t="shared" si="30"/>
        <v>1250</v>
      </c>
      <c r="L214" s="223" t="s">
        <v>479</v>
      </c>
      <c r="P214" s="286"/>
    </row>
    <row r="215" spans="1:16">
      <c r="A215" s="284" t="s">
        <v>497</v>
      </c>
      <c r="B215" s="222">
        <v>0</v>
      </c>
      <c r="C215" s="285" t="s">
        <v>479</v>
      </c>
      <c r="D215" s="209">
        <f t="shared" si="29"/>
        <v>0</v>
      </c>
      <c r="E215" s="209">
        <f>ROUND($C$205*B215,0)</f>
        <v>0</v>
      </c>
      <c r="F215" s="209">
        <v>0</v>
      </c>
      <c r="G215" s="209"/>
      <c r="H215" s="209">
        <f>D215*(1+$E$6)</f>
        <v>0</v>
      </c>
      <c r="I215" s="209">
        <f>+E215*(1+$E$9)</f>
        <v>0</v>
      </c>
      <c r="J215" s="209">
        <f>F215*(1+$E$10)</f>
        <v>0</v>
      </c>
      <c r="K215" s="315">
        <f t="shared" si="30"/>
        <v>0</v>
      </c>
      <c r="L215" s="223" t="s">
        <v>479</v>
      </c>
      <c r="P215" s="286"/>
    </row>
    <row r="216" spans="1:16">
      <c r="A216" s="284" t="s">
        <v>498</v>
      </c>
      <c r="B216" s="222">
        <v>0</v>
      </c>
      <c r="C216" s="285" t="s">
        <v>479</v>
      </c>
      <c r="D216" s="209">
        <f t="shared" si="29"/>
        <v>0</v>
      </c>
      <c r="E216" s="209">
        <f>ROUND($C$205*B216,0)</f>
        <v>0</v>
      </c>
      <c r="F216" s="209">
        <v>0</v>
      </c>
      <c r="G216" s="209"/>
      <c r="H216" s="209">
        <f>D216*(1+$E$6)</f>
        <v>0</v>
      </c>
      <c r="I216" s="209">
        <f>+E216*(1+$E$9)</f>
        <v>0</v>
      </c>
      <c r="J216" s="209">
        <f>F216*(1+$E$10)</f>
        <v>0</v>
      </c>
      <c r="K216" s="315">
        <f t="shared" si="30"/>
        <v>0</v>
      </c>
      <c r="L216" s="223" t="s">
        <v>479</v>
      </c>
      <c r="P216" s="286"/>
    </row>
    <row r="217" spans="1:16">
      <c r="A217" s="165" t="s">
        <v>488</v>
      </c>
      <c r="B217" s="222"/>
      <c r="C217" s="204"/>
      <c r="D217" s="209"/>
      <c r="E217" s="209"/>
      <c r="F217" s="209"/>
      <c r="G217" s="209"/>
      <c r="H217" s="209"/>
      <c r="I217" s="209"/>
      <c r="J217" s="209"/>
      <c r="K217" s="315">
        <f t="shared" si="30"/>
        <v>0</v>
      </c>
      <c r="L217" s="224"/>
      <c r="P217" s="286"/>
    </row>
    <row r="218" spans="1:16">
      <c r="A218" s="199" t="s">
        <v>489</v>
      </c>
      <c r="B218" s="222">
        <v>1159</v>
      </c>
      <c r="C218" s="285" t="s">
        <v>482</v>
      </c>
      <c r="D218" s="209">
        <f t="shared" ref="D218:D220" si="31">B218</f>
        <v>1159</v>
      </c>
      <c r="E218" s="209">
        <f>ROUND($C$205*B218,0)</f>
        <v>0</v>
      </c>
      <c r="F218" s="209">
        <v>0</v>
      </c>
      <c r="G218" s="209"/>
      <c r="H218" s="209">
        <f>D218*(1+$E$6)</f>
        <v>1189.1957135237146</v>
      </c>
      <c r="I218" s="209">
        <f>+E218*(1+$E$9)</f>
        <v>0</v>
      </c>
      <c r="J218" s="209">
        <f>F218*(1+$E$10)</f>
        <v>0</v>
      </c>
      <c r="K218" s="315">
        <f t="shared" si="30"/>
        <v>1189</v>
      </c>
      <c r="L218" s="223" t="s">
        <v>482</v>
      </c>
      <c r="P218" s="286"/>
    </row>
    <row r="219" spans="1:16">
      <c r="A219" s="199" t="s">
        <v>512</v>
      </c>
      <c r="B219" s="222">
        <v>1913</v>
      </c>
      <c r="C219" s="285" t="s">
        <v>482</v>
      </c>
      <c r="D219" s="209">
        <f t="shared" si="31"/>
        <v>1913</v>
      </c>
      <c r="E219" s="209">
        <f>ROUND($C$205*B219,0)</f>
        <v>0</v>
      </c>
      <c r="F219" s="209">
        <v>0</v>
      </c>
      <c r="G219" s="209"/>
      <c r="H219" s="209">
        <f>D219*(1+$E$6)</f>
        <v>1962.8398619248196</v>
      </c>
      <c r="I219" s="209">
        <f>+E219*(1+$E$9)</f>
        <v>0</v>
      </c>
      <c r="J219" s="209">
        <f>F219*(1+$E$10)</f>
        <v>0</v>
      </c>
      <c r="K219" s="315">
        <f t="shared" si="30"/>
        <v>1963</v>
      </c>
      <c r="L219" s="223" t="s">
        <v>482</v>
      </c>
      <c r="P219" s="286"/>
    </row>
    <row r="220" spans="1:16">
      <c r="A220" s="199" t="s">
        <v>490</v>
      </c>
      <c r="B220" s="222">
        <v>812</v>
      </c>
      <c r="C220" s="285" t="s">
        <v>482</v>
      </c>
      <c r="D220" s="209">
        <f t="shared" si="31"/>
        <v>812</v>
      </c>
      <c r="E220" s="209">
        <f>ROUND($C$205*B220,0)</f>
        <v>0</v>
      </c>
      <c r="F220" s="209">
        <v>0</v>
      </c>
      <c r="G220" s="209"/>
      <c r="H220" s="209">
        <f>D220*(1+$E$6)</f>
        <v>833.15523673965163</v>
      </c>
      <c r="I220" s="209">
        <f>+E220*(1+$E$9)</f>
        <v>0</v>
      </c>
      <c r="J220" s="209">
        <f>F220*(1+$E$10)</f>
        <v>0</v>
      </c>
      <c r="K220" s="315">
        <f t="shared" si="30"/>
        <v>833</v>
      </c>
      <c r="L220" s="223" t="s">
        <v>482</v>
      </c>
      <c r="P220" s="286"/>
    </row>
    <row r="221" spans="1:16" s="203" customFormat="1">
      <c r="A221" s="290"/>
      <c r="B221" s="235"/>
      <c r="C221" s="297"/>
      <c r="D221" s="235"/>
      <c r="E221" s="235"/>
      <c r="F221" s="235"/>
      <c r="G221" s="235"/>
      <c r="H221" s="235"/>
      <c r="I221" s="235"/>
      <c r="J221" s="235"/>
      <c r="K221" s="236"/>
      <c r="L221" s="298"/>
    </row>
    <row r="222" spans="1:16" s="203" customFormat="1">
      <c r="B222" s="235"/>
      <c r="C222" s="235"/>
      <c r="D222" s="235"/>
      <c r="E222" s="235"/>
      <c r="F222" s="235"/>
      <c r="G222" s="235"/>
      <c r="H222" s="235"/>
      <c r="I222" s="235"/>
      <c r="J222" s="235"/>
      <c r="K222" s="235"/>
      <c r="L222" s="235"/>
    </row>
    <row r="223" spans="1:16">
      <c r="A223" s="166" t="s">
        <v>513</v>
      </c>
      <c r="B223" s="204"/>
      <c r="C223" s="204"/>
      <c r="D223" s="204"/>
      <c r="E223" s="204"/>
      <c r="F223" s="204"/>
      <c r="G223" s="204"/>
      <c r="H223" s="204"/>
      <c r="I223" s="204"/>
      <c r="J223" s="204"/>
      <c r="K223" s="205"/>
      <c r="L223" s="204"/>
    </row>
    <row r="224" spans="1:16">
      <c r="A224" s="197"/>
      <c r="B224" s="206" t="s">
        <v>510</v>
      </c>
      <c r="C224" s="206" t="s">
        <v>403</v>
      </c>
      <c r="D224" s="207"/>
      <c r="E224" s="207"/>
      <c r="F224" s="207"/>
      <c r="G224" s="207"/>
      <c r="H224" s="207"/>
      <c r="I224" s="207"/>
      <c r="J224" s="207"/>
      <c r="K224" s="207"/>
      <c r="L224" s="207"/>
    </row>
    <row r="225" spans="1:16">
      <c r="A225" s="197" t="s">
        <v>404</v>
      </c>
      <c r="B225" s="209">
        <f>913625+1336519+858730</f>
        <v>3108874</v>
      </c>
      <c r="C225" s="209">
        <f>+B225/B228</f>
        <v>0.88308517984393553</v>
      </c>
      <c r="D225" s="207"/>
      <c r="E225" s="207"/>
      <c r="F225" s="207"/>
      <c r="G225" s="207"/>
      <c r="H225" s="207"/>
      <c r="I225" s="207"/>
      <c r="J225" s="207"/>
      <c r="K225" s="207"/>
      <c r="L225" s="207"/>
    </row>
    <row r="226" spans="1:16">
      <c r="A226" s="197" t="s">
        <v>386</v>
      </c>
      <c r="B226" s="209">
        <v>0</v>
      </c>
      <c r="C226" s="209">
        <f>+B226/B228</f>
        <v>0</v>
      </c>
      <c r="D226" s="207"/>
      <c r="E226" s="207"/>
      <c r="F226" s="207"/>
      <c r="G226" s="207"/>
      <c r="H226" s="207"/>
      <c r="I226" s="207"/>
      <c r="J226" s="207"/>
      <c r="K226" s="207"/>
      <c r="L226" s="207"/>
    </row>
    <row r="227" spans="1:16">
      <c r="A227" s="197" t="s">
        <v>392</v>
      </c>
      <c r="B227" s="209">
        <f>280000+40000+10892+36307+11099+11099+22198</f>
        <v>411595</v>
      </c>
      <c r="C227" s="209">
        <f>+B227/B228</f>
        <v>0.11691482015606443</v>
      </c>
      <c r="D227" s="207"/>
      <c r="E227" s="207"/>
      <c r="F227" s="207"/>
      <c r="G227" s="207"/>
      <c r="H227" s="207"/>
      <c r="I227" s="207"/>
      <c r="J227" s="207"/>
      <c r="K227" s="207"/>
      <c r="L227" s="207"/>
    </row>
    <row r="228" spans="1:16" ht="13.8" thickBot="1">
      <c r="A228" s="210" t="s">
        <v>407</v>
      </c>
      <c r="B228" s="211">
        <f>SUM(B225:B227)</f>
        <v>3520469</v>
      </c>
      <c r="C228" s="211">
        <f>SUM(C225:C227)</f>
        <v>1</v>
      </c>
      <c r="D228" s="207"/>
      <c r="E228" s="207"/>
      <c r="F228" s="207"/>
      <c r="G228" s="207"/>
      <c r="H228" s="207"/>
      <c r="I228" s="207"/>
      <c r="J228" s="207"/>
      <c r="K228" s="207"/>
      <c r="L228" s="207"/>
    </row>
    <row r="229" spans="1:16" ht="13.8" thickTop="1">
      <c r="A229" s="197"/>
      <c r="B229" s="206" t="s">
        <v>502</v>
      </c>
      <c r="C229" s="206" t="s">
        <v>403</v>
      </c>
      <c r="D229" s="207"/>
      <c r="E229" s="207"/>
      <c r="F229" s="207"/>
      <c r="G229" s="207"/>
      <c r="H229" s="207"/>
      <c r="I229" s="207"/>
      <c r="J229" s="207"/>
      <c r="K229" s="207"/>
      <c r="L229" s="207"/>
    </row>
    <row r="230" spans="1:16">
      <c r="A230" s="197" t="s">
        <v>404</v>
      </c>
      <c r="B230" s="209">
        <v>744999</v>
      </c>
      <c r="C230" s="209">
        <f>+B230/B233</f>
        <v>0.7461787085381989</v>
      </c>
      <c r="D230" s="204"/>
      <c r="E230" s="204"/>
      <c r="F230" s="204"/>
      <c r="G230" s="204"/>
      <c r="H230" s="204"/>
      <c r="I230" s="204"/>
      <c r="J230" s="204"/>
      <c r="K230" s="204"/>
      <c r="L230" s="204"/>
    </row>
    <row r="231" spans="1:16">
      <c r="A231" s="197" t="s">
        <v>386</v>
      </c>
      <c r="B231" s="209">
        <v>0</v>
      </c>
      <c r="C231" s="209">
        <f>+B231/B233</f>
        <v>0</v>
      </c>
      <c r="D231" s="204"/>
      <c r="E231" s="204"/>
      <c r="F231" s="204"/>
      <c r="G231" s="204"/>
      <c r="H231" s="204"/>
      <c r="I231" s="204"/>
      <c r="J231" s="204"/>
      <c r="K231" s="204"/>
      <c r="L231" s="204"/>
    </row>
    <row r="232" spans="1:16">
      <c r="A232" s="197" t="s">
        <v>392</v>
      </c>
      <c r="B232" s="209">
        <v>253420</v>
      </c>
      <c r="C232" s="209">
        <f>+B232/B233</f>
        <v>0.2538212914618011</v>
      </c>
      <c r="D232" s="204"/>
      <c r="E232" s="204"/>
      <c r="F232" s="204"/>
      <c r="G232" s="204"/>
      <c r="H232" s="204"/>
      <c r="I232" s="204"/>
      <c r="J232" s="204"/>
      <c r="K232" s="204"/>
      <c r="L232" s="204"/>
    </row>
    <row r="233" spans="1:16" ht="13.8" thickBot="1">
      <c r="A233" s="210" t="s">
        <v>407</v>
      </c>
      <c r="B233" s="211">
        <f>SUM(B230:B232)</f>
        <v>998419</v>
      </c>
      <c r="C233" s="211">
        <f>SUM(C230:C232)</f>
        <v>1</v>
      </c>
      <c r="D233" s="204"/>
      <c r="E233" s="204"/>
      <c r="F233" s="204"/>
      <c r="G233" s="204"/>
      <c r="H233" s="204"/>
      <c r="I233" s="204"/>
      <c r="J233" s="204"/>
      <c r="K233" s="204"/>
      <c r="L233" s="204"/>
    </row>
    <row r="234" spans="1:16" ht="13.8" thickTop="1">
      <c r="B234" s="204"/>
      <c r="C234" s="204"/>
      <c r="D234" s="204"/>
      <c r="E234" s="204"/>
      <c r="F234" s="204"/>
      <c r="G234" s="204"/>
      <c r="H234" s="204"/>
      <c r="I234" s="204"/>
      <c r="J234" s="204"/>
      <c r="K234" s="204"/>
      <c r="L234" s="204"/>
    </row>
    <row r="235" spans="1:16">
      <c r="B235" s="204"/>
      <c r="C235" s="204"/>
      <c r="D235" s="214" t="s">
        <v>411</v>
      </c>
      <c r="E235" s="214"/>
      <c r="F235" s="214"/>
      <c r="G235" s="209"/>
      <c r="H235" s="813" t="s">
        <v>412</v>
      </c>
      <c r="I235" s="813"/>
      <c r="J235" s="813"/>
      <c r="K235" s="296"/>
      <c r="L235" s="204"/>
    </row>
    <row r="236" spans="1:16">
      <c r="A236" s="179"/>
      <c r="B236" s="239" t="s">
        <v>414</v>
      </c>
      <c r="C236" s="220"/>
      <c r="D236" s="206" t="s">
        <v>415</v>
      </c>
      <c r="E236" s="206" t="s">
        <v>416</v>
      </c>
      <c r="F236" s="206" t="s">
        <v>417</v>
      </c>
      <c r="G236" s="209"/>
      <c r="H236" s="206" t="s">
        <v>415</v>
      </c>
      <c r="I236" s="206" t="s">
        <v>416</v>
      </c>
      <c r="J236" s="206" t="s">
        <v>417</v>
      </c>
      <c r="K236" s="219" t="str">
        <f>$K$133</f>
        <v>Effective 7/1/26</v>
      </c>
      <c r="L236" s="220"/>
    </row>
    <row r="237" spans="1:16">
      <c r="A237" s="165" t="s">
        <v>477</v>
      </c>
      <c r="B237" s="204"/>
      <c r="C237" s="204"/>
      <c r="D237" s="209"/>
      <c r="E237" s="209"/>
      <c r="F237" s="209"/>
      <c r="G237" s="209"/>
      <c r="H237" s="209"/>
      <c r="I237" s="209"/>
      <c r="J237" s="209"/>
      <c r="K237" s="204"/>
      <c r="L237" s="204"/>
    </row>
    <row r="238" spans="1:16">
      <c r="A238" s="284" t="s">
        <v>118</v>
      </c>
      <c r="B238" s="222">
        <v>126</v>
      </c>
      <c r="C238" s="285" t="s">
        <v>479</v>
      </c>
      <c r="D238" s="209">
        <f>ROUND(+$C$230*B238,0)</f>
        <v>94</v>
      </c>
      <c r="E238" s="209">
        <f>ROUND($C$231*B238,0)</f>
        <v>0</v>
      </c>
      <c r="F238" s="209">
        <f>+B238-D238-E238</f>
        <v>32</v>
      </c>
      <c r="G238" s="209"/>
      <c r="H238" s="208">
        <f>D238*(1+$E$6)</f>
        <v>96.449005238334053</v>
      </c>
      <c r="I238" s="208">
        <f>+E238*(1+$E$9)</f>
        <v>0</v>
      </c>
      <c r="J238" s="208">
        <f>F238*(1+$E$10)</f>
        <v>33.216000000000001</v>
      </c>
      <c r="K238" s="315">
        <f>ROUND(SUM(H238:J238),0)</f>
        <v>130</v>
      </c>
      <c r="L238" s="223" t="s">
        <v>479</v>
      </c>
      <c r="P238" s="286"/>
    </row>
    <row r="239" spans="1:16">
      <c r="A239" s="284" t="s">
        <v>495</v>
      </c>
      <c r="B239" s="222">
        <v>101</v>
      </c>
      <c r="C239" s="285" t="s">
        <v>479</v>
      </c>
      <c r="D239" s="209">
        <f>ROUND(+$C$230*B239,0)</f>
        <v>75</v>
      </c>
      <c r="E239" s="209">
        <f>ROUND($C$231*B239,0)</f>
        <v>0</v>
      </c>
      <c r="F239" s="209">
        <f t="shared" ref="F239:F246" si="32">+B239-D239-E239</f>
        <v>26</v>
      </c>
      <c r="G239" s="209"/>
      <c r="H239" s="208">
        <f t="shared" ref="H239:H246" si="33">D239*(1+$E$6)</f>
        <v>76.95399354122398</v>
      </c>
      <c r="I239" s="208">
        <f t="shared" ref="I239:I246" si="34">+E239*(1+$E$9)</f>
        <v>0</v>
      </c>
      <c r="J239" s="208">
        <f t="shared" ref="J239:J246" si="35">F239*(1+$E$10)</f>
        <v>26.988</v>
      </c>
      <c r="K239" s="315">
        <f t="shared" ref="K239:K246" si="36">ROUND(SUM(H239:J239),0)</f>
        <v>104</v>
      </c>
      <c r="L239" s="223" t="s">
        <v>479</v>
      </c>
      <c r="P239" s="286"/>
    </row>
    <row r="240" spans="1:16">
      <c r="A240" s="284" t="s">
        <v>496</v>
      </c>
      <c r="B240" s="222">
        <v>90</v>
      </c>
      <c r="C240" s="285" t="s">
        <v>479</v>
      </c>
      <c r="D240" s="209">
        <f>ROUND(+$C$230*B240,0)</f>
        <v>67</v>
      </c>
      <c r="E240" s="209">
        <f>ROUND($C$231*B240,0)</f>
        <v>0</v>
      </c>
      <c r="F240" s="209">
        <f t="shared" si="32"/>
        <v>23</v>
      </c>
      <c r="G240" s="209"/>
      <c r="H240" s="208">
        <f t="shared" si="33"/>
        <v>68.745567563493424</v>
      </c>
      <c r="I240" s="208">
        <f t="shared" si="34"/>
        <v>0</v>
      </c>
      <c r="J240" s="208">
        <f t="shared" si="35"/>
        <v>23.874000000000002</v>
      </c>
      <c r="K240" s="315">
        <f t="shared" si="36"/>
        <v>93</v>
      </c>
      <c r="L240" s="223" t="s">
        <v>479</v>
      </c>
      <c r="P240" s="286"/>
    </row>
    <row r="241" spans="1:16">
      <c r="A241" s="284" t="s">
        <v>497</v>
      </c>
      <c r="B241" s="222">
        <v>0</v>
      </c>
      <c r="C241" s="285" t="s">
        <v>479</v>
      </c>
      <c r="D241" s="209">
        <f>ROUND(+$C$230*B241,0)</f>
        <v>0</v>
      </c>
      <c r="E241" s="209">
        <f>ROUND($C$231*B241,0)</f>
        <v>0</v>
      </c>
      <c r="F241" s="209">
        <f t="shared" si="32"/>
        <v>0</v>
      </c>
      <c r="G241" s="209"/>
      <c r="H241" s="208">
        <f t="shared" si="33"/>
        <v>0</v>
      </c>
      <c r="I241" s="208">
        <f t="shared" si="34"/>
        <v>0</v>
      </c>
      <c r="J241" s="208">
        <f t="shared" si="35"/>
        <v>0</v>
      </c>
      <c r="K241" s="315">
        <f t="shared" si="36"/>
        <v>0</v>
      </c>
      <c r="L241" s="223" t="s">
        <v>479</v>
      </c>
      <c r="P241" s="286"/>
    </row>
    <row r="242" spans="1:16">
      <c r="A242" s="284" t="s">
        <v>498</v>
      </c>
      <c r="B242" s="222">
        <v>0</v>
      </c>
      <c r="C242" s="285" t="s">
        <v>479</v>
      </c>
      <c r="D242" s="209">
        <f>ROUND(+$C$230*B242,0)</f>
        <v>0</v>
      </c>
      <c r="E242" s="209">
        <f>ROUND($C$231*B242,0)</f>
        <v>0</v>
      </c>
      <c r="F242" s="209">
        <f t="shared" si="32"/>
        <v>0</v>
      </c>
      <c r="G242" s="209"/>
      <c r="H242" s="208">
        <f t="shared" si="33"/>
        <v>0</v>
      </c>
      <c r="I242" s="208">
        <f t="shared" si="34"/>
        <v>0</v>
      </c>
      <c r="J242" s="208">
        <f t="shared" si="35"/>
        <v>0</v>
      </c>
      <c r="K242" s="315">
        <f t="shared" si="36"/>
        <v>0</v>
      </c>
      <c r="L242" s="223" t="s">
        <v>479</v>
      </c>
      <c r="P242" s="286"/>
    </row>
    <row r="243" spans="1:16">
      <c r="A243" s="165" t="s">
        <v>488</v>
      </c>
      <c r="B243" s="222"/>
      <c r="C243" s="204"/>
      <c r="D243" s="209"/>
      <c r="E243" s="209"/>
      <c r="F243" s="209"/>
      <c r="G243" s="209"/>
      <c r="H243" s="208"/>
      <c r="I243" s="208"/>
      <c r="J243" s="208"/>
      <c r="K243" s="315">
        <f t="shared" si="36"/>
        <v>0</v>
      </c>
      <c r="L243" s="224"/>
      <c r="P243" s="286"/>
    </row>
    <row r="244" spans="1:16">
      <c r="A244" s="199" t="s">
        <v>489</v>
      </c>
      <c r="B244" s="222">
        <v>30</v>
      </c>
      <c r="C244" s="285" t="s">
        <v>482</v>
      </c>
      <c r="D244" s="209">
        <f>ROUND(+$C$230*B244,0)</f>
        <v>22</v>
      </c>
      <c r="E244" s="209">
        <f>ROUND($C$231*B244,0)</f>
        <v>0</v>
      </c>
      <c r="F244" s="209">
        <f t="shared" si="32"/>
        <v>8</v>
      </c>
      <c r="G244" s="209"/>
      <c r="H244" s="208">
        <f t="shared" si="33"/>
        <v>22.573171438759033</v>
      </c>
      <c r="I244" s="208">
        <f t="shared" si="34"/>
        <v>0</v>
      </c>
      <c r="J244" s="208">
        <f t="shared" si="35"/>
        <v>8.3040000000000003</v>
      </c>
      <c r="K244" s="315">
        <f t="shared" si="36"/>
        <v>31</v>
      </c>
      <c r="L244" s="223" t="s">
        <v>482</v>
      </c>
      <c r="P244" s="286"/>
    </row>
    <row r="245" spans="1:16">
      <c r="A245" s="199" t="s">
        <v>512</v>
      </c>
      <c r="B245" s="222">
        <v>48</v>
      </c>
      <c r="C245" s="285" t="s">
        <v>482</v>
      </c>
      <c r="D245" s="209">
        <f>ROUND(+$C$230*B245,0)</f>
        <v>36</v>
      </c>
      <c r="E245" s="209">
        <f>ROUND($C$231*B245,0)</f>
        <v>0</v>
      </c>
      <c r="F245" s="209">
        <f t="shared" si="32"/>
        <v>12</v>
      </c>
      <c r="G245" s="209"/>
      <c r="H245" s="208">
        <f t="shared" si="33"/>
        <v>36.93791689978751</v>
      </c>
      <c r="I245" s="208">
        <f t="shared" si="34"/>
        <v>0</v>
      </c>
      <c r="J245" s="208">
        <f t="shared" si="35"/>
        <v>12.456</v>
      </c>
      <c r="K245" s="315">
        <f t="shared" si="36"/>
        <v>49</v>
      </c>
      <c r="L245" s="223" t="s">
        <v>482</v>
      </c>
      <c r="P245" s="286"/>
    </row>
    <row r="246" spans="1:16">
      <c r="A246" s="199" t="s">
        <v>490</v>
      </c>
      <c r="B246" s="222">
        <v>21</v>
      </c>
      <c r="C246" s="285" t="s">
        <v>482</v>
      </c>
      <c r="D246" s="209">
        <f>ROUND(+$C$230*B246,0)</f>
        <v>16</v>
      </c>
      <c r="E246" s="209">
        <f>ROUND($C$231*B246,0)</f>
        <v>0</v>
      </c>
      <c r="F246" s="209">
        <f t="shared" si="32"/>
        <v>5</v>
      </c>
      <c r="G246" s="209"/>
      <c r="H246" s="208">
        <f t="shared" si="33"/>
        <v>16.416851955461116</v>
      </c>
      <c r="I246" s="208">
        <f t="shared" si="34"/>
        <v>0</v>
      </c>
      <c r="J246" s="208">
        <f t="shared" si="35"/>
        <v>5.19</v>
      </c>
      <c r="K246" s="315">
        <f t="shared" si="36"/>
        <v>22</v>
      </c>
      <c r="L246" s="223" t="s">
        <v>482</v>
      </c>
      <c r="P246" s="286"/>
    </row>
    <row r="247" spans="1:16" s="203" customFormat="1">
      <c r="A247" s="290"/>
      <c r="B247" s="235"/>
      <c r="C247" s="297"/>
      <c r="D247" s="235"/>
      <c r="E247" s="235"/>
      <c r="F247" s="235"/>
      <c r="G247" s="235"/>
      <c r="H247" s="235"/>
      <c r="I247" s="235"/>
      <c r="J247" s="235"/>
      <c r="K247" s="236"/>
      <c r="L247" s="298"/>
    </row>
    <row r="248" spans="1:16">
      <c r="A248" s="166" t="s">
        <v>514</v>
      </c>
      <c r="C248" s="204"/>
      <c r="D248" s="204"/>
      <c r="E248" s="204"/>
      <c r="F248" s="204"/>
      <c r="G248" s="204"/>
      <c r="H248" s="204"/>
      <c r="I248" s="204"/>
      <c r="J248" s="204"/>
      <c r="K248" s="204"/>
      <c r="L248" s="204"/>
    </row>
    <row r="249" spans="1:16" hidden="1">
      <c r="A249" s="197"/>
      <c r="B249" s="206" t="s">
        <v>486</v>
      </c>
      <c r="C249" s="206" t="s">
        <v>403</v>
      </c>
      <c r="D249" s="204"/>
      <c r="E249" s="204"/>
      <c r="F249" s="204"/>
      <c r="G249" s="204"/>
      <c r="H249" s="204"/>
      <c r="I249" s="204"/>
      <c r="J249" s="204"/>
      <c r="K249" s="204"/>
      <c r="L249" s="204"/>
    </row>
    <row r="250" spans="1:16" hidden="1">
      <c r="A250" s="197" t="s">
        <v>404</v>
      </c>
      <c r="B250" s="209">
        <f>6741+267603+813110</f>
        <v>1087454</v>
      </c>
      <c r="C250" s="299">
        <f>+B250/B253</f>
        <v>0.85841443554988606</v>
      </c>
      <c r="D250" s="204"/>
      <c r="E250" s="204"/>
      <c r="F250" s="204"/>
      <c r="G250" s="204"/>
      <c r="H250" s="204"/>
      <c r="I250" s="204"/>
      <c r="J250" s="204"/>
      <c r="K250" s="204"/>
      <c r="L250" s="204"/>
    </row>
    <row r="251" spans="1:16" hidden="1">
      <c r="A251" s="197" t="s">
        <v>386</v>
      </c>
      <c r="B251" s="209">
        <v>12560</v>
      </c>
      <c r="C251" s="299">
        <f>+B251/B253</f>
        <v>9.9146127656954391E-3</v>
      </c>
      <c r="D251" s="204"/>
      <c r="E251" s="204"/>
      <c r="F251" s="204"/>
      <c r="G251" s="204"/>
      <c r="H251" s="204"/>
      <c r="I251" s="204"/>
      <c r="J251" s="204"/>
      <c r="K251" s="204"/>
      <c r="L251" s="204"/>
    </row>
    <row r="252" spans="1:16" hidden="1">
      <c r="A252" s="197" t="s">
        <v>515</v>
      </c>
      <c r="B252" s="209">
        <v>166803</v>
      </c>
      <c r="C252" s="299">
        <f>+B252/B253</f>
        <v>0.1316709516844185</v>
      </c>
      <c r="D252" s="204"/>
      <c r="E252" s="204"/>
      <c r="F252" s="204"/>
      <c r="G252" s="204"/>
      <c r="H252" s="204"/>
      <c r="I252" s="204"/>
      <c r="J252" s="204"/>
      <c r="K252" s="204"/>
      <c r="L252" s="204"/>
    </row>
    <row r="253" spans="1:16" ht="13.8" hidden="1" thickBot="1">
      <c r="A253" s="210" t="s">
        <v>407</v>
      </c>
      <c r="B253" s="211">
        <f>SUM(B250:B252)</f>
        <v>1266817</v>
      </c>
      <c r="C253" s="211">
        <f>SUM(C250:C252)</f>
        <v>1</v>
      </c>
      <c r="D253" s="204"/>
      <c r="E253" s="204"/>
      <c r="F253" s="204"/>
      <c r="G253" s="204"/>
      <c r="H253" s="204"/>
      <c r="I253" s="204"/>
      <c r="J253" s="204"/>
      <c r="K253" s="204"/>
      <c r="L253" s="204"/>
    </row>
    <row r="254" spans="1:16" ht="13.8" hidden="1" thickTop="1">
      <c r="A254" s="197"/>
      <c r="B254" s="206" t="s">
        <v>502</v>
      </c>
      <c r="C254" s="206" t="s">
        <v>403</v>
      </c>
      <c r="D254" s="204"/>
      <c r="E254" s="204"/>
      <c r="F254" s="204"/>
      <c r="G254" s="204"/>
      <c r="H254" s="204"/>
      <c r="I254" s="204"/>
      <c r="J254" s="204"/>
      <c r="K254" s="204"/>
      <c r="L254" s="204"/>
    </row>
    <row r="255" spans="1:16" hidden="1">
      <c r="A255" s="197" t="s">
        <v>404</v>
      </c>
      <c r="B255" s="209">
        <v>12787835</v>
      </c>
      <c r="C255" s="209">
        <f>+B255/B258</f>
        <v>0.86705028102202597</v>
      </c>
      <c r="D255" s="204"/>
      <c r="E255" s="204"/>
      <c r="F255" s="204"/>
      <c r="G255" s="204"/>
      <c r="H255" s="204"/>
      <c r="I255" s="204"/>
      <c r="J255" s="204"/>
      <c r="K255" s="204"/>
      <c r="L255" s="204"/>
    </row>
    <row r="256" spans="1:16" hidden="1">
      <c r="A256" s="197" t="s">
        <v>386</v>
      </c>
      <c r="B256" s="209">
        <v>0</v>
      </c>
      <c r="C256" s="209">
        <f>+B256/B258</f>
        <v>0</v>
      </c>
      <c r="D256" s="204"/>
      <c r="E256" s="204"/>
      <c r="F256" s="204"/>
      <c r="G256" s="204"/>
      <c r="H256" s="204"/>
      <c r="I256" s="204"/>
      <c r="J256" s="204"/>
      <c r="K256" s="204"/>
      <c r="L256" s="204"/>
    </row>
    <row r="257" spans="1:16" hidden="1">
      <c r="A257" s="197" t="s">
        <v>392</v>
      </c>
      <c r="B257" s="209">
        <v>1960831</v>
      </c>
      <c r="C257" s="209">
        <f>+B257/B258</f>
        <v>0.132949718977974</v>
      </c>
      <c r="D257" s="204"/>
      <c r="E257" s="204"/>
      <c r="F257" s="204"/>
      <c r="G257" s="204"/>
      <c r="H257" s="204"/>
      <c r="I257" s="204"/>
      <c r="J257" s="204"/>
      <c r="K257" s="204"/>
      <c r="L257" s="204"/>
    </row>
    <row r="258" spans="1:16" ht="13.8" hidden="1" thickBot="1">
      <c r="A258" s="210" t="s">
        <v>407</v>
      </c>
      <c r="B258" s="211">
        <f>SUM(B255:B257)</f>
        <v>14748666</v>
      </c>
      <c r="C258" s="211">
        <f>SUM(C255:C257)</f>
        <v>1</v>
      </c>
      <c r="D258" s="204"/>
      <c r="E258" s="204"/>
      <c r="F258" s="204"/>
      <c r="G258" s="204"/>
      <c r="H258" s="204"/>
      <c r="I258" s="204"/>
      <c r="J258" s="204"/>
      <c r="K258" s="204"/>
      <c r="L258" s="204"/>
    </row>
    <row r="259" spans="1:16">
      <c r="B259" s="204"/>
      <c r="C259" s="204"/>
      <c r="D259" s="204"/>
      <c r="E259" s="204"/>
      <c r="F259" s="204"/>
      <c r="G259" s="204"/>
      <c r="H259" s="204"/>
      <c r="I259" s="204"/>
      <c r="J259" s="204"/>
      <c r="K259" s="204"/>
      <c r="L259" s="204"/>
    </row>
    <row r="260" spans="1:16">
      <c r="A260" s="224" t="s">
        <v>516</v>
      </c>
      <c r="B260" s="204"/>
      <c r="C260" s="204"/>
      <c r="D260" s="214" t="s">
        <v>411</v>
      </c>
      <c r="E260" s="214"/>
      <c r="F260" s="214"/>
      <c r="G260" s="209"/>
      <c r="H260" s="813" t="s">
        <v>412</v>
      </c>
      <c r="I260" s="813"/>
      <c r="J260" s="813"/>
      <c r="K260" s="296"/>
      <c r="L260" s="204"/>
    </row>
    <row r="261" spans="1:16">
      <c r="A261" s="179"/>
      <c r="B261" s="239" t="s">
        <v>414</v>
      </c>
      <c r="C261" s="220"/>
      <c r="D261" s="206" t="s">
        <v>415</v>
      </c>
      <c r="E261" s="206" t="s">
        <v>416</v>
      </c>
      <c r="F261" s="206" t="s">
        <v>417</v>
      </c>
      <c r="G261" s="209"/>
      <c r="H261" s="206" t="s">
        <v>415</v>
      </c>
      <c r="I261" s="206" t="s">
        <v>416</v>
      </c>
      <c r="J261" s="206" t="s">
        <v>417</v>
      </c>
      <c r="K261" s="219" t="s">
        <v>521</v>
      </c>
      <c r="L261" s="220"/>
    </row>
    <row r="262" spans="1:16">
      <c r="A262" s="165" t="s">
        <v>477</v>
      </c>
      <c r="B262" s="204"/>
      <c r="C262" s="204"/>
      <c r="D262" s="209"/>
      <c r="E262" s="209"/>
      <c r="F262" s="209"/>
      <c r="G262" s="209"/>
      <c r="H262" s="209"/>
      <c r="I262" s="209"/>
      <c r="J262" s="209"/>
      <c r="K262" s="204"/>
      <c r="L262" s="204"/>
    </row>
    <row r="263" spans="1:16">
      <c r="A263" s="284" t="s">
        <v>118</v>
      </c>
      <c r="B263" s="300">
        <v>1.93</v>
      </c>
      <c r="C263" s="223" t="s">
        <v>517</v>
      </c>
      <c r="D263" s="282">
        <f>B263</f>
        <v>1.93</v>
      </c>
      <c r="E263" s="209">
        <f>ROUND($C$256*B263,0)</f>
        <v>0</v>
      </c>
      <c r="F263" s="209"/>
      <c r="G263" s="209"/>
      <c r="H263" s="301">
        <f>D263*(1+$E$6)</f>
        <v>1.980282767127497</v>
      </c>
      <c r="I263" s="208">
        <f>+E263*(1+$E$9)</f>
        <v>0</v>
      </c>
      <c r="J263" s="208">
        <f>F263*(1+$E$10)</f>
        <v>0</v>
      </c>
      <c r="K263" s="315">
        <f>H263</f>
        <v>1.980282767127497</v>
      </c>
      <c r="L263" s="223" t="s">
        <v>517</v>
      </c>
      <c r="P263" s="286"/>
    </row>
    <row r="264" spans="1:16">
      <c r="A264" s="284" t="s">
        <v>495</v>
      </c>
      <c r="B264" s="300">
        <v>2.54</v>
      </c>
      <c r="C264" s="223" t="s">
        <v>517</v>
      </c>
      <c r="D264" s="282">
        <f>B264</f>
        <v>2.54</v>
      </c>
      <c r="E264" s="209">
        <f>ROUND($C$256*B264,0)</f>
        <v>0</v>
      </c>
      <c r="F264" s="209"/>
      <c r="G264" s="209"/>
      <c r="H264" s="301">
        <f>D264*(1+$E$6)</f>
        <v>2.606175247929452</v>
      </c>
      <c r="I264" s="208">
        <f>+E264*(1+$E$9)</f>
        <v>0</v>
      </c>
      <c r="J264" s="208">
        <f>F264*(1+$E$10)</f>
        <v>0</v>
      </c>
      <c r="K264" s="315">
        <f t="shared" ref="K264:K272" si="37">H264</f>
        <v>2.606175247929452</v>
      </c>
      <c r="L264" s="223" t="s">
        <v>517</v>
      </c>
      <c r="P264" s="286"/>
    </row>
    <row r="265" spans="1:16">
      <c r="A265" s="284" t="s">
        <v>496</v>
      </c>
      <c r="B265" s="300">
        <v>1.41</v>
      </c>
      <c r="C265" s="223" t="s">
        <v>517</v>
      </c>
      <c r="D265" s="282">
        <f>B265</f>
        <v>1.41</v>
      </c>
      <c r="E265" s="209">
        <f>ROUND($C$256*B265,0)</f>
        <v>0</v>
      </c>
      <c r="F265" s="209"/>
      <c r="G265" s="209"/>
      <c r="H265" s="301">
        <f t="shared" ref="H265:H267" si="38">D265*(1+$E$6)</f>
        <v>1.4467350785750108</v>
      </c>
      <c r="I265" s="208">
        <f>+E265*(1+$E$9)</f>
        <v>0</v>
      </c>
      <c r="J265" s="208">
        <f>F265*(1+$E$10)</f>
        <v>0</v>
      </c>
      <c r="K265" s="315">
        <f t="shared" si="37"/>
        <v>1.4467350785750108</v>
      </c>
      <c r="L265" s="223" t="s">
        <v>517</v>
      </c>
      <c r="P265" s="286"/>
    </row>
    <row r="266" spans="1:16">
      <c r="A266" s="302" t="s">
        <v>518</v>
      </c>
      <c r="B266" s="300">
        <v>1.93</v>
      </c>
      <c r="C266" s="223" t="s">
        <v>517</v>
      </c>
      <c r="D266" s="282">
        <f>B266</f>
        <v>1.93</v>
      </c>
      <c r="E266" s="209">
        <f>ROUND($C$256*B266,0)</f>
        <v>0</v>
      </c>
      <c r="F266" s="209"/>
      <c r="G266" s="209"/>
      <c r="H266" s="301">
        <f t="shared" ref="H266" si="39">D266*(1+$E$6)</f>
        <v>1.980282767127497</v>
      </c>
      <c r="I266" s="208">
        <f>+E266*(1+$E$9)</f>
        <v>0</v>
      </c>
      <c r="J266" s="208">
        <f>F266*(1+$E$10)</f>
        <v>0</v>
      </c>
      <c r="K266" s="315">
        <f t="shared" si="37"/>
        <v>1.980282767127497</v>
      </c>
      <c r="L266" s="223" t="s">
        <v>517</v>
      </c>
      <c r="P266" s="286"/>
    </row>
    <row r="267" spans="1:16">
      <c r="A267" s="302" t="s">
        <v>519</v>
      </c>
      <c r="B267" s="300">
        <v>0</v>
      </c>
      <c r="C267" s="223" t="s">
        <v>517</v>
      </c>
      <c r="D267" s="282">
        <f>B267</f>
        <v>0</v>
      </c>
      <c r="E267" s="209">
        <f>ROUND($C$256*B267,0)</f>
        <v>0</v>
      </c>
      <c r="F267" s="209"/>
      <c r="G267" s="209"/>
      <c r="H267" s="301">
        <f t="shared" si="38"/>
        <v>0</v>
      </c>
      <c r="I267" s="208">
        <f>+E267*(1+$E$9)</f>
        <v>0</v>
      </c>
      <c r="J267" s="208">
        <f>F267*(1+$E$10)</f>
        <v>0</v>
      </c>
      <c r="K267" s="315">
        <f t="shared" si="37"/>
        <v>0</v>
      </c>
      <c r="L267" s="223" t="s">
        <v>517</v>
      </c>
      <c r="P267" s="286"/>
    </row>
    <row r="268" spans="1:16">
      <c r="A268" s="284"/>
      <c r="B268" s="300"/>
      <c r="C268" s="285"/>
      <c r="D268" s="282"/>
      <c r="E268" s="209"/>
      <c r="F268" s="209"/>
      <c r="G268" s="209"/>
      <c r="H268" s="301"/>
      <c r="I268" s="208"/>
      <c r="J268" s="208"/>
      <c r="K268" s="315">
        <f t="shared" si="37"/>
        <v>0</v>
      </c>
      <c r="L268" s="223"/>
      <c r="P268" s="286"/>
    </row>
    <row r="269" spans="1:16">
      <c r="A269" s="165" t="s">
        <v>488</v>
      </c>
      <c r="B269" s="300"/>
      <c r="C269" s="204"/>
      <c r="D269" s="282"/>
      <c r="E269" s="209"/>
      <c r="F269" s="209"/>
      <c r="G269" s="209"/>
      <c r="H269" s="301"/>
      <c r="I269" s="208"/>
      <c r="J269" s="208"/>
      <c r="K269" s="315">
        <f t="shared" si="37"/>
        <v>0</v>
      </c>
      <c r="L269" s="224"/>
      <c r="P269" s="286"/>
    </row>
    <row r="270" spans="1:16">
      <c r="A270" s="199" t="s">
        <v>520</v>
      </c>
      <c r="B270" s="300">
        <v>2.14</v>
      </c>
      <c r="C270" s="223" t="s">
        <v>517</v>
      </c>
      <c r="D270" s="282">
        <f>B270</f>
        <v>2.14</v>
      </c>
      <c r="E270" s="209">
        <f>ROUND($C$256*B270,0)</f>
        <v>0</v>
      </c>
      <c r="F270" s="209"/>
      <c r="G270" s="209"/>
      <c r="H270" s="301">
        <f t="shared" ref="H270:H272" si="40">D270*(1+$E$6)</f>
        <v>2.1957539490429245</v>
      </c>
      <c r="I270" s="208">
        <f>+E270*(1+$E$9)</f>
        <v>0</v>
      </c>
      <c r="J270" s="208">
        <f>F270*(1+$E$10)</f>
        <v>0</v>
      </c>
      <c r="K270" s="315">
        <f t="shared" si="37"/>
        <v>2.1957539490429245</v>
      </c>
      <c r="L270" s="223" t="s">
        <v>517</v>
      </c>
      <c r="P270" s="286"/>
    </row>
    <row r="271" spans="1:16">
      <c r="A271" s="199" t="s">
        <v>512</v>
      </c>
      <c r="B271" s="300">
        <v>3.52</v>
      </c>
      <c r="C271" s="223" t="s">
        <v>517</v>
      </c>
      <c r="D271" s="282">
        <f>B271</f>
        <v>3.52</v>
      </c>
      <c r="E271" s="209">
        <f>ROUND($C$256*B271,0)</f>
        <v>0</v>
      </c>
      <c r="F271" s="209"/>
      <c r="G271" s="209"/>
      <c r="H271" s="301">
        <f t="shared" si="40"/>
        <v>3.6117074302014456</v>
      </c>
      <c r="I271" s="208">
        <f>+E271*(1+$E$9)</f>
        <v>0</v>
      </c>
      <c r="J271" s="208">
        <f>F271*(1+$E$10)</f>
        <v>0</v>
      </c>
      <c r="K271" s="315">
        <f t="shared" si="37"/>
        <v>3.6117074302014456</v>
      </c>
      <c r="L271" s="223" t="s">
        <v>517</v>
      </c>
      <c r="P271" s="286"/>
    </row>
    <row r="272" spans="1:16">
      <c r="A272" s="199" t="s">
        <v>490</v>
      </c>
      <c r="B272" s="300">
        <v>1.5</v>
      </c>
      <c r="C272" s="223" t="s">
        <v>517</v>
      </c>
      <c r="D272" s="282">
        <f>B272</f>
        <v>1.5</v>
      </c>
      <c r="E272" s="209">
        <f>ROUND($C$256*B272,0)</f>
        <v>0</v>
      </c>
      <c r="F272" s="209"/>
      <c r="G272" s="209"/>
      <c r="H272" s="301">
        <f t="shared" si="40"/>
        <v>1.5390798708244797</v>
      </c>
      <c r="I272" s="208">
        <f>+E272*(1+$E$9)</f>
        <v>0</v>
      </c>
      <c r="J272" s="208">
        <f>F272*(1+$E$10)</f>
        <v>0</v>
      </c>
      <c r="K272" s="315">
        <f t="shared" si="37"/>
        <v>1.5390798708244797</v>
      </c>
      <c r="L272" s="223" t="s">
        <v>517</v>
      </c>
      <c r="P272" s="286"/>
    </row>
    <row r="273" spans="1:12" s="203" customFormat="1">
      <c r="A273" s="290"/>
      <c r="B273" s="235"/>
      <c r="C273" s="297"/>
      <c r="D273" s="235"/>
      <c r="E273" s="235"/>
      <c r="F273" s="235"/>
      <c r="G273" s="235"/>
      <c r="H273" s="235"/>
      <c r="I273" s="235"/>
      <c r="J273" s="235"/>
      <c r="K273" s="236"/>
      <c r="L273" s="298"/>
    </row>
    <row r="274" spans="1:12" s="203" customFormat="1">
      <c r="B274" s="235"/>
      <c r="C274" s="235"/>
      <c r="D274" s="235"/>
      <c r="E274" s="235"/>
      <c r="F274" s="235"/>
      <c r="G274" s="235"/>
      <c r="H274" s="235"/>
      <c r="I274" s="235"/>
      <c r="J274" s="235"/>
      <c r="K274" s="235"/>
      <c r="L274" s="235"/>
    </row>
    <row r="275" spans="1:12" s="203" customFormat="1"/>
    <row r="282" spans="1:12">
      <c r="J282" s="204"/>
    </row>
  </sheetData>
  <sheetProtection algorithmName="SHA-512" hashValue="qEBNFXr4ypr/R0RuHkTOQhCF8q/uQGH7LHfc1L1MVzlnrDebhZfX6ir7EcXqmpPJUQRg0v9XAHMYyxjQXfgzuw==" saltValue="edbr9CDuJyV4u2UkOGqf8w==" spinCount="100000" sheet="1" objects="1" scenarios="1" selectLockedCells="1" selectUnlockedCells="1"/>
  <mergeCells count="15">
    <mergeCell ref="O2:P2"/>
    <mergeCell ref="H24:J24"/>
    <mergeCell ref="H55:J55"/>
    <mergeCell ref="K56:L56"/>
    <mergeCell ref="K65:M65"/>
    <mergeCell ref="H235:J235"/>
    <mergeCell ref="H260:J260"/>
    <mergeCell ref="K24:L24"/>
    <mergeCell ref="H121:J121"/>
    <mergeCell ref="H132:J132"/>
    <mergeCell ref="H161:J161"/>
    <mergeCell ref="H177:J177"/>
    <mergeCell ref="H193:J193"/>
    <mergeCell ref="H209:J209"/>
    <mergeCell ref="H100:J100"/>
  </mergeCells>
  <pageMargins left="0.75" right="0.75" top="1" bottom="1" header="0.5" footer="0.5"/>
  <pageSetup paperSize="3" scale="60" fitToHeight="0" orientation="landscape" r:id="rId1"/>
  <headerFooter alignWithMargins="0">
    <oddFooter>&amp;L&amp;F&amp;C&amp;P of &amp;N&amp;R&amp;D</oddFooter>
  </headerFooter>
  <rowBreaks count="5" manualBreakCount="5">
    <brk id="52" max="16383" man="1"/>
    <brk id="90" max="13" man="1"/>
    <brk id="128" max="16383" man="1"/>
    <brk id="200" max="13" man="1"/>
    <brk id="246" max="16383" man="1"/>
  </row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CB6832AC0B984CB8093BCB26CA8ADB" ma:contentTypeVersion="12" ma:contentTypeDescription="Create a new document." ma:contentTypeScope="" ma:versionID="a0724219dfd75329ef82b2fa8658be09">
  <xsd:schema xmlns:xsd="http://www.w3.org/2001/XMLSchema" xmlns:xs="http://www.w3.org/2001/XMLSchema" xmlns:p="http://schemas.microsoft.com/office/2006/metadata/properties" xmlns:ns2="4b3cdfce-a155-4ac6-a28b-21f89887c258" xmlns:ns3="a86a7a81-a0d2-4548-a151-12285ec3764a" targetNamespace="http://schemas.microsoft.com/office/2006/metadata/properties" ma:root="true" ma:fieldsID="21e935f259e6264a40d4f8a29833989d" ns2:_="" ns3:_="">
    <xsd:import namespace="4b3cdfce-a155-4ac6-a28b-21f89887c258"/>
    <xsd:import namespace="a86a7a81-a0d2-4548-a151-12285ec376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3cdfce-a155-4ac6-a28b-21f89887c25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62f2a18-3dff-4ec9-a68f-13ea026df33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6a7a81-a0d2-4548-a151-12285ec3764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4876e9-b224-4310-b0f9-e28c2159d051}" ma:internalName="TaxCatchAll" ma:showField="CatchAllData" ma:web="a86a7a81-a0d2-4548-a151-12285ec376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3cdfce-a155-4ac6-a28b-21f89887c258">
      <Terms xmlns="http://schemas.microsoft.com/office/infopath/2007/PartnerControls"/>
    </lcf76f155ced4ddcb4097134ff3c332f>
    <TaxCatchAll xmlns="a86a7a81-a0d2-4548-a151-12285ec3764a" xsi:nil="true"/>
  </documentManagement>
</p:properties>
</file>

<file path=customXml/itemProps1.xml><?xml version="1.0" encoding="utf-8"?>
<ds:datastoreItem xmlns:ds="http://schemas.openxmlformats.org/officeDocument/2006/customXml" ds:itemID="{3D27F892-7E42-4AE3-9E9F-10658C8603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9C6EC9-45ED-4500-8D7F-D434F811C2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3cdfce-a155-4ac6-a28b-21f89887c258"/>
    <ds:schemaRef ds:uri="a86a7a81-a0d2-4548-a151-12285ec376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40FEBD-6709-401E-92D4-292D1F49DA7E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a86a7a81-a0d2-4548-a151-12285ec3764a"/>
    <ds:schemaRef ds:uri="4b3cdfce-a155-4ac6-a28b-21f89887c25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11</vt:i4>
      </vt:variant>
    </vt:vector>
  </HeadingPairs>
  <TitlesOfParts>
    <vt:vector size="21" baseType="lpstr">
      <vt:lpstr>Data Sheet</vt:lpstr>
      <vt:lpstr>Summary Sheet</vt:lpstr>
      <vt:lpstr>Public Works</vt:lpstr>
      <vt:lpstr>Parks &amp; Rec</vt:lpstr>
      <vt:lpstr>Police</vt:lpstr>
      <vt:lpstr>Fire</vt:lpstr>
      <vt:lpstr>WUSD</vt:lpstr>
      <vt:lpstr>Housing</vt:lpstr>
      <vt:lpstr>tree</vt:lpstr>
      <vt:lpstr>FY26-27 FEE Worksheet</vt:lpstr>
      <vt:lpstr>'Data Sheet'!Print_Area</vt:lpstr>
      <vt:lpstr>Fire!Print_Area</vt:lpstr>
      <vt:lpstr>'FY26-27 FEE Worksheet'!Print_Area</vt:lpstr>
      <vt:lpstr>'Parks &amp; Rec'!Print_Area</vt:lpstr>
      <vt:lpstr>Police!Print_Area</vt:lpstr>
      <vt:lpstr>'Public Works'!Print_Area</vt:lpstr>
      <vt:lpstr>'Summary Sheet'!Print_Area</vt:lpstr>
      <vt:lpstr>WUSD!Print_Area</vt:lpstr>
      <vt:lpstr>'Data Sheet'!Print_Titles</vt:lpstr>
      <vt:lpstr>'FY26-27 FEE Worksheet'!Print_Titles</vt:lpstr>
      <vt:lpstr>'Public Works'!Print_Titles</vt:lpstr>
    </vt:vector>
  </TitlesOfParts>
  <Manager/>
  <Company>Town of Windsor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Alice Cassella</dc:creator>
  <cp:keywords/>
  <dc:description/>
  <cp:lastModifiedBy>Jenny Alton</cp:lastModifiedBy>
  <cp:revision/>
  <cp:lastPrinted>2026-07-01T01:49:17Z</cp:lastPrinted>
  <dcterms:created xsi:type="dcterms:W3CDTF">2002-06-12T00:15:46Z</dcterms:created>
  <dcterms:modified xsi:type="dcterms:W3CDTF">2026-07-06T20:36:25Z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0x010100F5CB6832AC0B984CB8093BCB26CA8ADB</vt:lpwstr>
  </property>
  <property fmtid="{D5CDD505-2E9C-101B-9397-08002B2CF9AE}" pid="3" name="MediaServiceImageTags">
    <vt:lpwstr/>
  </property>
</Properties>
</file>